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autoCompressPictures="0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4155" yWindow="0" windowWidth="19995" windowHeight="11760" tabRatio="812" firstSheet="3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b)'!$A$56</definedName>
    <definedName name="GASTO_E_FIN">'Formato 6 b)'!$A$102</definedName>
    <definedName name="GASTO_E_FIN_01">'Formato 6 b)'!$B$102</definedName>
    <definedName name="GASTO_E_FIN_02">'Formato 6 b)'!$C$102</definedName>
    <definedName name="GASTO_E_FIN_03">'Formato 6 b)'!$D$102</definedName>
    <definedName name="GASTO_E_FIN_04">'Formato 6 b)'!$E$102</definedName>
    <definedName name="GASTO_E_FIN_05">'Formato 6 b)'!$F$102</definedName>
    <definedName name="GASTO_E_FIN_06">'Formato 6 b)'!$G$102</definedName>
    <definedName name="GASTO_E_T1">'Formato 6 b)'!$B$56</definedName>
    <definedName name="GASTO_E_T2">'Formato 6 b)'!$C$56</definedName>
    <definedName name="GASTO_E_T3">'Formato 6 b)'!$D$56</definedName>
    <definedName name="GASTO_E_T4">'Formato 6 b)'!$E$56</definedName>
    <definedName name="GASTO_E_T5">'Formato 6 b)'!$F$56</definedName>
    <definedName name="GASTO_E_T6">'Formato 6 b)'!$G$56</definedName>
    <definedName name="GASTO_NE">'Formato 6 b)'!$A$9</definedName>
    <definedName name="GASTO_NE_FIN">'Formato 6 b)'!$A$55</definedName>
    <definedName name="GASTO_NE_FIN_01">'Formato 6 b)'!$B$55</definedName>
    <definedName name="GASTO_NE_FIN_02">'Formato 6 b)'!$C$55</definedName>
    <definedName name="GASTO_NE_FIN_03">'Formato 6 b)'!$D$55</definedName>
    <definedName name="GASTO_NE_FIN_04">'Formato 6 b)'!$E$55</definedName>
    <definedName name="GASTO_NE_FIN_05">'Formato 6 b)'!$F$55</definedName>
    <definedName name="GASTO_NE_FIN_06">'Formato 6 b)'!$G$55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b)'!$B$103</definedName>
    <definedName name="TOTAL_E_T2">'Formato 6 b)'!$C$103</definedName>
    <definedName name="TOTAL_E_T3">'Formato 6 b)'!$D$103</definedName>
    <definedName name="TOTAL_E_T4">'Formato 6 b)'!$E$103</definedName>
    <definedName name="TOTAL_E_T5">'Formato 6 b)'!$F$103</definedName>
    <definedName name="TOTAL_E_T6">'Formato 6 b)'!$G$103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C47" i="1"/>
  <c r="C25" i="11"/>
  <c r="D25" i="11"/>
  <c r="E25" i="11"/>
  <c r="F25" i="11"/>
  <c r="G25" i="11"/>
  <c r="C10" i="11"/>
  <c r="D10" i="11"/>
  <c r="E10" i="11"/>
  <c r="F10" i="11"/>
  <c r="G10" i="11"/>
  <c r="C11" i="11"/>
  <c r="D11" i="11"/>
  <c r="E11" i="11"/>
  <c r="F11" i="11"/>
  <c r="G11" i="11"/>
  <c r="C12" i="11"/>
  <c r="D12" i="11"/>
  <c r="E12" i="11"/>
  <c r="F12" i="11"/>
  <c r="G12" i="11"/>
  <c r="C13" i="11"/>
  <c r="D13" i="11"/>
  <c r="E13" i="11"/>
  <c r="F13" i="11"/>
  <c r="G13" i="11"/>
  <c r="B14" i="11"/>
  <c r="C14" i="11"/>
  <c r="D14" i="11"/>
  <c r="E14" i="11"/>
  <c r="F14" i="11"/>
  <c r="G14" i="11"/>
  <c r="C9" i="11"/>
  <c r="D9" i="11"/>
  <c r="E9" i="11"/>
  <c r="F9" i="11"/>
  <c r="G9" i="11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11" i="7"/>
  <c r="G12" i="7"/>
  <c r="G13" i="7"/>
  <c r="G14" i="7"/>
  <c r="G15" i="7"/>
  <c r="G16" i="7"/>
  <c r="D58" i="5"/>
  <c r="D48" i="5"/>
  <c r="D15" i="5"/>
  <c r="D14" i="5"/>
  <c r="D13" i="5"/>
  <c r="E35" i="5"/>
  <c r="C137" i="6"/>
  <c r="D137" i="6"/>
  <c r="R129" i="24"/>
  <c r="E137" i="6"/>
  <c r="F137" i="6"/>
  <c r="T129" i="24"/>
  <c r="B137" i="6"/>
  <c r="C62" i="6"/>
  <c r="Q55" i="24"/>
  <c r="D62" i="6"/>
  <c r="E62" i="6"/>
  <c r="S55" i="24"/>
  <c r="F62" i="6"/>
  <c r="B62" i="6"/>
  <c r="P55" i="24"/>
  <c r="B8" i="10"/>
  <c r="C6" i="23"/>
  <c r="C7" i="23"/>
  <c r="B9" i="1"/>
  <c r="H25" i="23"/>
  <c r="G25" i="23"/>
  <c r="F25" i="23"/>
  <c r="D5" i="13"/>
  <c r="E25" i="23"/>
  <c r="C5" i="13"/>
  <c r="D25" i="23"/>
  <c r="G30" i="9"/>
  <c r="G31" i="9"/>
  <c r="U23" i="27"/>
  <c r="G29" i="9"/>
  <c r="G26" i="9"/>
  <c r="G27" i="9"/>
  <c r="U19" i="27"/>
  <c r="G25" i="9"/>
  <c r="U17" i="27"/>
  <c r="G23" i="9"/>
  <c r="U15" i="27"/>
  <c r="G22" i="9"/>
  <c r="G19" i="9"/>
  <c r="G18" i="9"/>
  <c r="G17" i="9"/>
  <c r="G16" i="9"/>
  <c r="U9" i="27"/>
  <c r="G14" i="9"/>
  <c r="G15" i="9"/>
  <c r="G13" i="9"/>
  <c r="G12" i="9"/>
  <c r="U5" i="27"/>
  <c r="G11" i="9"/>
  <c r="G10" i="9"/>
  <c r="G73" i="8"/>
  <c r="G74" i="8"/>
  <c r="G72" i="8"/>
  <c r="G75" i="8"/>
  <c r="U67" i="26"/>
  <c r="G63" i="8"/>
  <c r="G64" i="8"/>
  <c r="G65" i="8"/>
  <c r="G66" i="8"/>
  <c r="G67" i="8"/>
  <c r="G68" i="8"/>
  <c r="G69" i="8"/>
  <c r="G70" i="8"/>
  <c r="G62" i="8"/>
  <c r="U54" i="26"/>
  <c r="G55" i="8"/>
  <c r="G56" i="8"/>
  <c r="G57" i="8"/>
  <c r="G58" i="8"/>
  <c r="U50" i="26"/>
  <c r="G59" i="8"/>
  <c r="U51" i="26"/>
  <c r="G60" i="8"/>
  <c r="G54" i="8"/>
  <c r="G46" i="8"/>
  <c r="G47" i="8"/>
  <c r="G48" i="8"/>
  <c r="G49" i="8"/>
  <c r="U41" i="26"/>
  <c r="G50" i="8"/>
  <c r="G51" i="8"/>
  <c r="U43" i="26"/>
  <c r="G52" i="8"/>
  <c r="G45" i="8"/>
  <c r="G39" i="8"/>
  <c r="G38" i="8"/>
  <c r="U31" i="26"/>
  <c r="G40" i="8"/>
  <c r="G41" i="8"/>
  <c r="G37" i="8"/>
  <c r="U30" i="26"/>
  <c r="G11" i="8"/>
  <c r="U4" i="26"/>
  <c r="G12" i="8"/>
  <c r="G13" i="8"/>
  <c r="G14" i="8"/>
  <c r="U7" i="26"/>
  <c r="G15" i="8"/>
  <c r="U8" i="26"/>
  <c r="G16" i="8"/>
  <c r="U9" i="26"/>
  <c r="G17" i="8"/>
  <c r="G18" i="8"/>
  <c r="U11" i="26"/>
  <c r="G20" i="8"/>
  <c r="G21" i="8"/>
  <c r="G22" i="8"/>
  <c r="G23" i="8"/>
  <c r="G24" i="8"/>
  <c r="G25" i="8"/>
  <c r="G26" i="8"/>
  <c r="G19" i="8"/>
  <c r="G28" i="8"/>
  <c r="G29" i="8"/>
  <c r="U22" i="26"/>
  <c r="G30" i="8"/>
  <c r="G31" i="8"/>
  <c r="U24" i="26"/>
  <c r="G32" i="8"/>
  <c r="G33" i="8"/>
  <c r="U26" i="26"/>
  <c r="G34" i="8"/>
  <c r="G35" i="8"/>
  <c r="U28" i="26"/>
  <c r="G36" i="8"/>
  <c r="G27" i="8"/>
  <c r="U20" i="26"/>
  <c r="G57" i="7"/>
  <c r="G56" i="7"/>
  <c r="U3" i="25"/>
  <c r="G10" i="7"/>
  <c r="B10" i="6"/>
  <c r="B18" i="6"/>
  <c r="B28" i="6"/>
  <c r="B38" i="6"/>
  <c r="B48" i="6"/>
  <c r="B58" i="6"/>
  <c r="B71" i="6"/>
  <c r="B75" i="6"/>
  <c r="G152" i="6"/>
  <c r="G153" i="6"/>
  <c r="G154" i="6"/>
  <c r="U146" i="24"/>
  <c r="G155" i="6"/>
  <c r="G156" i="6"/>
  <c r="U148" i="24"/>
  <c r="G157" i="6"/>
  <c r="G151" i="6"/>
  <c r="U143" i="24"/>
  <c r="G148" i="6"/>
  <c r="G149" i="6"/>
  <c r="G147" i="6"/>
  <c r="G146" i="6"/>
  <c r="U138" i="24"/>
  <c r="G139" i="6"/>
  <c r="U131" i="24"/>
  <c r="G140" i="6"/>
  <c r="G141" i="6"/>
  <c r="U133" i="24"/>
  <c r="G142" i="6"/>
  <c r="G143" i="6"/>
  <c r="U135" i="24"/>
  <c r="G144" i="6"/>
  <c r="G145" i="6"/>
  <c r="U137" i="24"/>
  <c r="G138" i="6"/>
  <c r="G137" i="6"/>
  <c r="U129" i="24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U110" i="24"/>
  <c r="G119" i="6"/>
  <c r="G120" i="6"/>
  <c r="U112" i="24"/>
  <c r="G121" i="6"/>
  <c r="G122" i="6"/>
  <c r="U114" i="24"/>
  <c r="G114" i="6"/>
  <c r="G105" i="6"/>
  <c r="U97" i="24"/>
  <c r="G106" i="6"/>
  <c r="G107" i="6"/>
  <c r="U99" i="24"/>
  <c r="G108" i="6"/>
  <c r="G109" i="6"/>
  <c r="U101" i="24"/>
  <c r="G110" i="6"/>
  <c r="G111" i="6"/>
  <c r="U103" i="24"/>
  <c r="G112" i="6"/>
  <c r="G104" i="6"/>
  <c r="G103" i="6"/>
  <c r="U95" i="24"/>
  <c r="G95" i="6"/>
  <c r="G96" i="6"/>
  <c r="G94" i="6"/>
  <c r="G97" i="6"/>
  <c r="G98" i="6"/>
  <c r="G99" i="6"/>
  <c r="G100" i="6"/>
  <c r="G101" i="6"/>
  <c r="G102" i="6"/>
  <c r="G93" i="6"/>
  <c r="U85" i="24"/>
  <c r="G87" i="6"/>
  <c r="G88" i="6"/>
  <c r="G89" i="6"/>
  <c r="G90" i="6"/>
  <c r="G91" i="6"/>
  <c r="G92" i="6"/>
  <c r="G86" i="6"/>
  <c r="G85" i="6"/>
  <c r="G77" i="6"/>
  <c r="G78" i="6"/>
  <c r="U71" i="24"/>
  <c r="G79" i="6"/>
  <c r="G80" i="6"/>
  <c r="U73" i="24"/>
  <c r="G81" i="6"/>
  <c r="G82" i="6"/>
  <c r="U75" i="24"/>
  <c r="G76" i="6"/>
  <c r="G73" i="6"/>
  <c r="G74" i="6"/>
  <c r="G72" i="6"/>
  <c r="G64" i="6"/>
  <c r="G65" i="6"/>
  <c r="U58" i="24"/>
  <c r="G66" i="6"/>
  <c r="G67" i="6"/>
  <c r="U60" i="24"/>
  <c r="G68" i="6"/>
  <c r="G69" i="6"/>
  <c r="U62" i="24"/>
  <c r="G70" i="6"/>
  <c r="G63" i="6"/>
  <c r="G62" i="6"/>
  <c r="U55" i="24"/>
  <c r="G60" i="6"/>
  <c r="G61" i="6"/>
  <c r="G59" i="6"/>
  <c r="G58" i="6"/>
  <c r="U51" i="24"/>
  <c r="G50" i="6"/>
  <c r="G51" i="6"/>
  <c r="G49" i="6"/>
  <c r="G52" i="6"/>
  <c r="G53" i="6"/>
  <c r="G54" i="6"/>
  <c r="G55" i="6"/>
  <c r="G56" i="6"/>
  <c r="G57" i="6"/>
  <c r="G48" i="6"/>
  <c r="U41" i="24"/>
  <c r="U46" i="24"/>
  <c r="U48" i="24"/>
  <c r="U50" i="24"/>
  <c r="G40" i="6"/>
  <c r="U33" i="24"/>
  <c r="G41" i="6"/>
  <c r="G42" i="6"/>
  <c r="U35" i="24"/>
  <c r="G43" i="6"/>
  <c r="G44" i="6"/>
  <c r="U37" i="24"/>
  <c r="G45" i="6"/>
  <c r="G46" i="6"/>
  <c r="U39" i="24"/>
  <c r="G47" i="6"/>
  <c r="G39" i="6"/>
  <c r="G38" i="6"/>
  <c r="U31" i="24"/>
  <c r="G30" i="6"/>
  <c r="G31" i="6"/>
  <c r="G32" i="6"/>
  <c r="G33" i="6"/>
  <c r="G34" i="6"/>
  <c r="G35" i="6"/>
  <c r="G36" i="6"/>
  <c r="G37" i="6"/>
  <c r="G29" i="6"/>
  <c r="G20" i="6"/>
  <c r="G21" i="6"/>
  <c r="G22" i="6"/>
  <c r="U15" i="24"/>
  <c r="G19" i="6"/>
  <c r="G23" i="6"/>
  <c r="U16" i="24"/>
  <c r="G24" i="6"/>
  <c r="G25" i="6"/>
  <c r="U18" i="24"/>
  <c r="G26" i="6"/>
  <c r="G27" i="6"/>
  <c r="U20" i="24"/>
  <c r="G11" i="6"/>
  <c r="G12" i="6"/>
  <c r="U5" i="24"/>
  <c r="G13" i="6"/>
  <c r="G14" i="6"/>
  <c r="U7" i="24"/>
  <c r="G15" i="6"/>
  <c r="G16" i="6"/>
  <c r="U9" i="24"/>
  <c r="G17" i="6"/>
  <c r="G28" i="6"/>
  <c r="U21" i="24"/>
  <c r="G71" i="6"/>
  <c r="B7" i="13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U29" i="20"/>
  <c r="G38" i="5"/>
  <c r="G39" i="5"/>
  <c r="G37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R2" i="30"/>
  <c r="S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R2" i="29"/>
  <c r="S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D32" i="10"/>
  <c r="R23" i="28"/>
  <c r="E29" i="10"/>
  <c r="S21" i="28"/>
  <c r="F29" i="10"/>
  <c r="F32" i="10"/>
  <c r="T23" i="28"/>
  <c r="G29" i="10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D12" i="9"/>
  <c r="R5" i="27"/>
  <c r="D16" i="9"/>
  <c r="E12" i="9"/>
  <c r="E16" i="9"/>
  <c r="S9" i="27"/>
  <c r="F12" i="9"/>
  <c r="T5" i="27"/>
  <c r="F16" i="9"/>
  <c r="F9" i="9"/>
  <c r="T2" i="27"/>
  <c r="Q3" i="27"/>
  <c r="R3" i="27"/>
  <c r="S3" i="27"/>
  <c r="T3" i="27"/>
  <c r="U3" i="27"/>
  <c r="Q4" i="27"/>
  <c r="R4" i="27"/>
  <c r="S4" i="27"/>
  <c r="T4" i="27"/>
  <c r="U4" i="27"/>
  <c r="Q5" i="27"/>
  <c r="S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Q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U12" i="27"/>
  <c r="C24" i="9"/>
  <c r="C28" i="9"/>
  <c r="Q20" i="27"/>
  <c r="D24" i="9"/>
  <c r="D28" i="9"/>
  <c r="D21" i="9"/>
  <c r="R13" i="27"/>
  <c r="E24" i="9"/>
  <c r="E28" i="9"/>
  <c r="E21" i="9"/>
  <c r="S13" i="27"/>
  <c r="F24" i="9"/>
  <c r="T16" i="27"/>
  <c r="F28" i="9"/>
  <c r="T20" i="27"/>
  <c r="G28" i="9"/>
  <c r="U20" i="27"/>
  <c r="Q14" i="27"/>
  <c r="R14" i="27"/>
  <c r="S14" i="27"/>
  <c r="T14" i="27"/>
  <c r="Q15" i="27"/>
  <c r="R15" i="27"/>
  <c r="S15" i="27"/>
  <c r="T15" i="27"/>
  <c r="S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R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P16" i="27"/>
  <c r="B28" i="9"/>
  <c r="B21" i="9"/>
  <c r="P13" i="27"/>
  <c r="P20" i="27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/>
  <c r="C19" i="8"/>
  <c r="C27" i="8"/>
  <c r="Q20" i="26"/>
  <c r="C37" i="8"/>
  <c r="Q30" i="26"/>
  <c r="D10" i="8"/>
  <c r="D19" i="8"/>
  <c r="D27" i="8"/>
  <c r="D37" i="8"/>
  <c r="R30" i="26"/>
  <c r="E10" i="8"/>
  <c r="E19" i="8"/>
  <c r="E27" i="8"/>
  <c r="S20" i="26"/>
  <c r="E37" i="8"/>
  <c r="F10" i="8"/>
  <c r="T3" i="26"/>
  <c r="F19" i="8"/>
  <c r="F27" i="8"/>
  <c r="T20" i="26"/>
  <c r="F37" i="8"/>
  <c r="T30" i="26"/>
  <c r="R3" i="26"/>
  <c r="S3" i="26"/>
  <c r="Q4" i="26"/>
  <c r="R4" i="26"/>
  <c r="S4" i="26"/>
  <c r="T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R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R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U29" i="26"/>
  <c r="S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Q45" i="26"/>
  <c r="C61" i="8"/>
  <c r="C71" i="8"/>
  <c r="D44" i="8"/>
  <c r="D53" i="8"/>
  <c r="D61" i="8"/>
  <c r="R53" i="26"/>
  <c r="D71" i="8"/>
  <c r="R63" i="26"/>
  <c r="E44" i="8"/>
  <c r="S36" i="26"/>
  <c r="E53" i="8"/>
  <c r="S45" i="26"/>
  <c r="E61" i="8"/>
  <c r="S53" i="26"/>
  <c r="E71" i="8"/>
  <c r="S63" i="26"/>
  <c r="F44" i="8"/>
  <c r="F53" i="8"/>
  <c r="F61" i="8"/>
  <c r="T53" i="26"/>
  <c r="F71" i="8"/>
  <c r="G61" i="8"/>
  <c r="Q36" i="26"/>
  <c r="R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R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Q52" i="26"/>
  <c r="R52" i="26"/>
  <c r="S52" i="26"/>
  <c r="T52" i="26"/>
  <c r="U52" i="26"/>
  <c r="Q53" i="26"/>
  <c r="U53" i="26"/>
  <c r="Q54" i="26"/>
  <c r="R54" i="26"/>
  <c r="S54" i="26"/>
  <c r="T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B44" i="8"/>
  <c r="P36" i="26"/>
  <c r="B53" i="8"/>
  <c r="B61" i="8"/>
  <c r="P53" i="26"/>
  <c r="B71" i="8"/>
  <c r="P63" i="26"/>
  <c r="B10" i="8"/>
  <c r="P3" i="26"/>
  <c r="B19" i="8"/>
  <c r="B27" i="8"/>
  <c r="B37" i="8"/>
  <c r="B9" i="8"/>
  <c r="P2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/>
  <c r="F56" i="7"/>
  <c r="T3" i="25"/>
  <c r="E9" i="7"/>
  <c r="E56" i="7"/>
  <c r="S3" i="25"/>
  <c r="D9" i="7"/>
  <c r="D56" i="7"/>
  <c r="C9" i="7"/>
  <c r="Q2" i="25"/>
  <c r="C56" i="7"/>
  <c r="Q3" i="25"/>
  <c r="B9" i="7"/>
  <c r="B56" i="7"/>
  <c r="A3" i="25"/>
  <c r="A4" i="25"/>
  <c r="A2" i="25"/>
  <c r="A87" i="24"/>
  <c r="C85" i="6"/>
  <c r="Q77" i="24"/>
  <c r="C93" i="6"/>
  <c r="C103" i="6"/>
  <c r="C113" i="6"/>
  <c r="Q105" i="24"/>
  <c r="C123" i="6"/>
  <c r="Q115" i="24"/>
  <c r="C133" i="6"/>
  <c r="Q125" i="24"/>
  <c r="C146" i="6"/>
  <c r="Q138" i="24"/>
  <c r="C150" i="6"/>
  <c r="Q142" i="24"/>
  <c r="D85" i="6"/>
  <c r="D93" i="6"/>
  <c r="D103" i="6"/>
  <c r="R95" i="24"/>
  <c r="D113" i="6"/>
  <c r="R105" i="24"/>
  <c r="D123" i="6"/>
  <c r="D133" i="6"/>
  <c r="D146" i="6"/>
  <c r="D150" i="6"/>
  <c r="R142" i="24"/>
  <c r="E85" i="6"/>
  <c r="S77" i="24"/>
  <c r="E93" i="6"/>
  <c r="E103" i="6"/>
  <c r="S95" i="24"/>
  <c r="E113" i="6"/>
  <c r="S105" i="24"/>
  <c r="E123" i="6"/>
  <c r="S115" i="24"/>
  <c r="E133" i="6"/>
  <c r="S125" i="24"/>
  <c r="E146" i="6"/>
  <c r="S138" i="24"/>
  <c r="E150" i="6"/>
  <c r="F85" i="6"/>
  <c r="F93" i="6"/>
  <c r="F103" i="6"/>
  <c r="F113" i="6"/>
  <c r="F123" i="6"/>
  <c r="T115" i="24"/>
  <c r="F133" i="6"/>
  <c r="T125" i="24"/>
  <c r="F146" i="6"/>
  <c r="F150" i="6"/>
  <c r="T138" i="24"/>
  <c r="T142" i="24"/>
  <c r="G123" i="6"/>
  <c r="U115" i="24"/>
  <c r="G133" i="6"/>
  <c r="U125" i="24"/>
  <c r="R77" i="24"/>
  <c r="T77" i="24"/>
  <c r="Q78" i="24"/>
  <c r="R78" i="24"/>
  <c r="S78" i="24"/>
  <c r="T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Q96" i="24"/>
  <c r="R96" i="24"/>
  <c r="S96" i="24"/>
  <c r="T96" i="24"/>
  <c r="U96" i="24"/>
  <c r="Q97" i="24"/>
  <c r="R97" i="24"/>
  <c r="S97" i="24"/>
  <c r="T97" i="24"/>
  <c r="Q98" i="24"/>
  <c r="R98" i="24"/>
  <c r="S98" i="24"/>
  <c r="T98" i="24"/>
  <c r="U98" i="24"/>
  <c r="Q99" i="24"/>
  <c r="R99" i="24"/>
  <c r="S99" i="24"/>
  <c r="T99" i="24"/>
  <c r="Q100" i="24"/>
  <c r="R100" i="24"/>
  <c r="S100" i="24"/>
  <c r="T100" i="24"/>
  <c r="U100" i="24"/>
  <c r="Q101" i="24"/>
  <c r="R101" i="24"/>
  <c r="S101" i="24"/>
  <c r="T101" i="24"/>
  <c r="Q102" i="24"/>
  <c r="R102" i="24"/>
  <c r="S102" i="24"/>
  <c r="T102" i="24"/>
  <c r="U102" i="24"/>
  <c r="Q103" i="24"/>
  <c r="R103" i="24"/>
  <c r="S103" i="24"/>
  <c r="T103" i="24"/>
  <c r="Q104" i="24"/>
  <c r="R104" i="24"/>
  <c r="S104" i="24"/>
  <c r="T104" i="24"/>
  <c r="U104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U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Q113" i="24"/>
  <c r="R113" i="24"/>
  <c r="S113" i="24"/>
  <c r="T113" i="24"/>
  <c r="U113" i="24"/>
  <c r="Q114" i="24"/>
  <c r="R114" i="24"/>
  <c r="S114" i="24"/>
  <c r="T114" i="24"/>
  <c r="R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S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R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S142" i="24"/>
  <c r="Q143" i="24"/>
  <c r="R143" i="24"/>
  <c r="S143" i="24"/>
  <c r="T143" i="24"/>
  <c r="Q144" i="24"/>
  <c r="R144" i="24"/>
  <c r="S144" i="24"/>
  <c r="T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Q149" i="24"/>
  <c r="R149" i="24"/>
  <c r="S149" i="24"/>
  <c r="T149" i="24"/>
  <c r="U149" i="24"/>
  <c r="C10" i="6"/>
  <c r="Q3" i="24"/>
  <c r="C18" i="6"/>
  <c r="C28" i="6"/>
  <c r="Q21" i="24"/>
  <c r="C38" i="6"/>
  <c r="Q31" i="24"/>
  <c r="C48" i="6"/>
  <c r="C58" i="6"/>
  <c r="C71" i="6"/>
  <c r="Q64" i="24"/>
  <c r="C75" i="6"/>
  <c r="D10" i="6"/>
  <c r="D18" i="6"/>
  <c r="D28" i="6"/>
  <c r="D38" i="6"/>
  <c r="D48" i="6"/>
  <c r="D58" i="6"/>
  <c r="D71" i="6"/>
  <c r="R64" i="24"/>
  <c r="D75" i="6"/>
  <c r="R68" i="24"/>
  <c r="E10" i="6"/>
  <c r="S3" i="24"/>
  <c r="E18" i="6"/>
  <c r="E28" i="6"/>
  <c r="S21" i="24"/>
  <c r="E38" i="6"/>
  <c r="S31" i="24"/>
  <c r="E48" i="6"/>
  <c r="S41" i="24"/>
  <c r="E58" i="6"/>
  <c r="E71" i="6"/>
  <c r="S64" i="24"/>
  <c r="E75" i="6"/>
  <c r="S68" i="24"/>
  <c r="F10" i="6"/>
  <c r="F18" i="6"/>
  <c r="F28" i="6"/>
  <c r="F38" i="6"/>
  <c r="T31" i="24"/>
  <c r="F48" i="6"/>
  <c r="F58" i="6"/>
  <c r="T51" i="24"/>
  <c r="F71" i="6"/>
  <c r="T64" i="24"/>
  <c r="F75" i="6"/>
  <c r="B85" i="6"/>
  <c r="P77" i="24"/>
  <c r="B93" i="6"/>
  <c r="B103" i="6"/>
  <c r="P95" i="24"/>
  <c r="B113" i="6"/>
  <c r="P105" i="24"/>
  <c r="B123" i="6"/>
  <c r="P115" i="24"/>
  <c r="B133" i="6"/>
  <c r="P125" i="24"/>
  <c r="B146" i="6"/>
  <c r="P138" i="24"/>
  <c r="B150" i="6"/>
  <c r="P142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T3" i="24"/>
  <c r="Q4" i="24"/>
  <c r="R4" i="24"/>
  <c r="S4" i="24"/>
  <c r="T4" i="24"/>
  <c r="U4" i="24"/>
  <c r="Q5" i="24"/>
  <c r="R5" i="24"/>
  <c r="S5" i="24"/>
  <c r="T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Q10" i="24"/>
  <c r="R10" i="24"/>
  <c r="S10" i="24"/>
  <c r="T10" i="24"/>
  <c r="U10" i="24"/>
  <c r="Q11" i="24"/>
  <c r="S11" i="24"/>
  <c r="Q12" i="24"/>
  <c r="R12" i="24"/>
  <c r="S12" i="24"/>
  <c r="T12" i="24"/>
  <c r="U12" i="24"/>
  <c r="Q13" i="24"/>
  <c r="R13" i="24"/>
  <c r="S13" i="24"/>
  <c r="T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U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R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R31" i="24"/>
  <c r="Q32" i="24"/>
  <c r="R32" i="24"/>
  <c r="S32" i="24"/>
  <c r="T32" i="24"/>
  <c r="U32" i="24"/>
  <c r="Q33" i="24"/>
  <c r="R33" i="24"/>
  <c r="S33" i="24"/>
  <c r="T33" i="24"/>
  <c r="Q34" i="24"/>
  <c r="R34" i="24"/>
  <c r="S34" i="24"/>
  <c r="T34" i="24"/>
  <c r="U34" i="24"/>
  <c r="Q35" i="24"/>
  <c r="R35" i="24"/>
  <c r="S35" i="24"/>
  <c r="T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Q40" i="24"/>
  <c r="R40" i="24"/>
  <c r="S40" i="24"/>
  <c r="T40" i="24"/>
  <c r="U40" i="24"/>
  <c r="Q41" i="24"/>
  <c r="R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Q45" i="24"/>
  <c r="R45" i="24"/>
  <c r="S45" i="24"/>
  <c r="T45" i="24"/>
  <c r="U45" i="24"/>
  <c r="Q46" i="24"/>
  <c r="R46" i="24"/>
  <c r="S46" i="24"/>
  <c r="T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Q51" i="24"/>
  <c r="R51" i="24"/>
  <c r="S51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R55" i="24"/>
  <c r="T55" i="24"/>
  <c r="Q56" i="24"/>
  <c r="R56" i="24"/>
  <c r="S56" i="24"/>
  <c r="T56" i="24"/>
  <c r="Q57" i="24"/>
  <c r="R57" i="24"/>
  <c r="S57" i="24"/>
  <c r="T57" i="24"/>
  <c r="U57" i="24"/>
  <c r="Q58" i="24"/>
  <c r="R58" i="24"/>
  <c r="S58" i="24"/>
  <c r="T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U61" i="24"/>
  <c r="Q62" i="24"/>
  <c r="R62" i="24"/>
  <c r="S62" i="24"/>
  <c r="T62" i="24"/>
  <c r="Q63" i="24"/>
  <c r="R63" i="24"/>
  <c r="S63" i="24"/>
  <c r="T63" i="24"/>
  <c r="U63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Q72" i="24"/>
  <c r="R72" i="24"/>
  <c r="S72" i="24"/>
  <c r="T72" i="24"/>
  <c r="U72" i="24"/>
  <c r="Q73" i="24"/>
  <c r="R73" i="24"/>
  <c r="S73" i="24"/>
  <c r="T73" i="24"/>
  <c r="Q74" i="24"/>
  <c r="R74" i="24"/>
  <c r="S74" i="24"/>
  <c r="T74" i="24"/>
  <c r="U74" i="24"/>
  <c r="Q75" i="24"/>
  <c r="R75" i="24"/>
  <c r="S75" i="24"/>
  <c r="T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30" i="20"/>
  <c r="U31" i="20"/>
  <c r="U32" i="20"/>
  <c r="U33" i="20"/>
  <c r="G46" i="5"/>
  <c r="U38" i="20"/>
  <c r="G47" i="5"/>
  <c r="G48" i="5"/>
  <c r="U40" i="20"/>
  <c r="G49" i="5"/>
  <c r="G50" i="5"/>
  <c r="U42" i="20"/>
  <c r="G51" i="5"/>
  <c r="G52" i="5"/>
  <c r="G53" i="5"/>
  <c r="U45" i="20"/>
  <c r="U39" i="20"/>
  <c r="U43" i="20"/>
  <c r="U44" i="20"/>
  <c r="G55" i="5"/>
  <c r="U47" i="20"/>
  <c r="G56" i="5"/>
  <c r="G57" i="5"/>
  <c r="U49" i="20"/>
  <c r="G58" i="5"/>
  <c r="U50" i="20"/>
  <c r="G60" i="5"/>
  <c r="G61" i="5"/>
  <c r="G59" i="5"/>
  <c r="U51" i="20"/>
  <c r="U52" i="20"/>
  <c r="G62" i="5"/>
  <c r="U54" i="20"/>
  <c r="G63" i="5"/>
  <c r="U55" i="20"/>
  <c r="G68" i="5"/>
  <c r="G67" i="5"/>
  <c r="U57" i="20"/>
  <c r="U58" i="20"/>
  <c r="G73" i="5"/>
  <c r="G74" i="5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E41" i="5"/>
  <c r="S34" i="20"/>
  <c r="C45" i="5"/>
  <c r="Q37" i="20"/>
  <c r="D45" i="5"/>
  <c r="D54" i="5"/>
  <c r="D59" i="5"/>
  <c r="D65" i="5"/>
  <c r="R56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E65" i="5"/>
  <c r="S56" i="20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B16" i="5"/>
  <c r="P10" i="20"/>
  <c r="B35" i="5"/>
  <c r="P29" i="20"/>
  <c r="B37" i="5"/>
  <c r="B41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/>
  <c r="F18" i="23"/>
  <c r="K6" i="3"/>
  <c r="E18" i="23"/>
  <c r="J6" i="3"/>
  <c r="D18" i="23"/>
  <c r="I6" i="3"/>
  <c r="F6" i="1"/>
  <c r="E6" i="1"/>
  <c r="F5" i="13"/>
  <c r="E5" i="13"/>
  <c r="B5" i="13"/>
  <c r="E5" i="12"/>
  <c r="B5" i="12"/>
  <c r="F5" i="12"/>
  <c r="I25" i="23"/>
  <c r="D23" i="23"/>
  <c r="I23" i="23"/>
  <c r="G6" i="10"/>
  <c r="H23" i="23"/>
  <c r="F6" i="10"/>
  <c r="F6" i="11"/>
  <c r="G23" i="23"/>
  <c r="E6" i="11"/>
  <c r="F23" i="23"/>
  <c r="D6" i="10"/>
  <c r="D6" i="11"/>
  <c r="E23" i="23"/>
  <c r="C6" i="10"/>
  <c r="E6" i="10"/>
  <c r="G5" i="13"/>
  <c r="G5" i="12"/>
  <c r="C11" i="23"/>
  <c r="A2" i="13"/>
  <c r="A2" i="11"/>
  <c r="A2" i="10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/>
  <c r="I14" i="3"/>
  <c r="W4" i="17"/>
  <c r="I8" i="3"/>
  <c r="I20" i="3"/>
  <c r="W5" i="17"/>
  <c r="H14" i="3"/>
  <c r="V4" i="17"/>
  <c r="G14" i="3"/>
  <c r="E14" i="3"/>
  <c r="S4" i="17"/>
  <c r="K9" i="3"/>
  <c r="K10" i="3"/>
  <c r="K11" i="3"/>
  <c r="K12" i="3"/>
  <c r="J8" i="3"/>
  <c r="H8" i="3"/>
  <c r="V3" i="17"/>
  <c r="G8" i="3"/>
  <c r="U3" i="17"/>
  <c r="E8" i="3"/>
  <c r="S3" i="17"/>
  <c r="F41" i="2"/>
  <c r="E41" i="2"/>
  <c r="S17" i="16"/>
  <c r="D41" i="2"/>
  <c r="R17" i="16"/>
  <c r="C41" i="2"/>
  <c r="Q17" i="16"/>
  <c r="H27" i="2"/>
  <c r="V15" i="16"/>
  <c r="G27" i="2"/>
  <c r="U15" i="16"/>
  <c r="F27" i="2"/>
  <c r="T15" i="16"/>
  <c r="E27" i="2"/>
  <c r="S15" i="16"/>
  <c r="D27" i="2"/>
  <c r="R15" i="16"/>
  <c r="C27" i="2"/>
  <c r="Q15" i="16"/>
  <c r="B41" i="2"/>
  <c r="B27" i="2"/>
  <c r="P15" i="16"/>
  <c r="H22" i="2"/>
  <c r="V14" i="16"/>
  <c r="G22" i="2"/>
  <c r="U14" i="16"/>
  <c r="F22" i="2"/>
  <c r="E22" i="2"/>
  <c r="T14" i="16"/>
  <c r="D22" i="2"/>
  <c r="R14" i="16"/>
  <c r="C22" i="2"/>
  <c r="B22" i="2"/>
  <c r="P14" i="16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/>
  <c r="B68" i="4"/>
  <c r="B64" i="4"/>
  <c r="B63" i="4"/>
  <c r="P32" i="18"/>
  <c r="B55" i="4"/>
  <c r="B53" i="4"/>
  <c r="P30" i="18"/>
  <c r="B49" i="4"/>
  <c r="B48" i="4"/>
  <c r="P26" i="18"/>
  <c r="B37" i="4"/>
  <c r="P19" i="18"/>
  <c r="B29" i="4"/>
  <c r="B17" i="4"/>
  <c r="B13" i="4"/>
  <c r="P6" i="18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27" i="18"/>
  <c r="P28" i="18"/>
  <c r="P29" i="18"/>
  <c r="P20" i="18"/>
  <c r="P21" i="18"/>
  <c r="P23" i="18"/>
  <c r="P24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Q57" i="15"/>
  <c r="F23" i="1"/>
  <c r="F27" i="1"/>
  <c r="Q76" i="15"/>
  <c r="F31" i="1"/>
  <c r="F38" i="1"/>
  <c r="F42" i="1"/>
  <c r="Q91" i="15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E9" i="1"/>
  <c r="E19" i="1"/>
  <c r="E23" i="1"/>
  <c r="P71" i="15"/>
  <c r="E27" i="1"/>
  <c r="E31" i="1"/>
  <c r="E38" i="1"/>
  <c r="P87" i="15"/>
  <c r="E42" i="1"/>
  <c r="E47" i="1"/>
  <c r="E57" i="1"/>
  <c r="E59" i="1"/>
  <c r="E63" i="1"/>
  <c r="E68" i="1"/>
  <c r="P110" i="15"/>
  <c r="E75" i="1"/>
  <c r="P116" i="15"/>
  <c r="P117" i="15"/>
  <c r="P118" i="15"/>
  <c r="P111" i="15"/>
  <c r="P112" i="15"/>
  <c r="P113" i="15"/>
  <c r="P114" i="15"/>
  <c r="P115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P57" i="15"/>
  <c r="Q33" i="15"/>
  <c r="P33" i="15"/>
  <c r="A33" i="15"/>
  <c r="A55" i="15"/>
  <c r="C9" i="1"/>
  <c r="C17" i="1"/>
  <c r="Q12" i="15"/>
  <c r="C25" i="1"/>
  <c r="Q20" i="15"/>
  <c r="C31" i="1"/>
  <c r="C38" i="1"/>
  <c r="C41" i="1"/>
  <c r="Q37" i="15"/>
  <c r="C60" i="1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E70" i="5"/>
  <c r="C70" i="4"/>
  <c r="Q37" i="18"/>
  <c r="D70" i="4"/>
  <c r="C68" i="4"/>
  <c r="Q36" i="18"/>
  <c r="D68" i="4"/>
  <c r="R36" i="18"/>
  <c r="C64" i="4"/>
  <c r="Q33" i="18"/>
  <c r="D64" i="4"/>
  <c r="C63" i="4"/>
  <c r="Q32" i="18"/>
  <c r="D63" i="4"/>
  <c r="C48" i="4"/>
  <c r="Q26" i="18"/>
  <c r="C55" i="4"/>
  <c r="Q31" i="18"/>
  <c r="D55" i="4"/>
  <c r="C53" i="4"/>
  <c r="Q30" i="18"/>
  <c r="D53" i="4"/>
  <c r="D48" i="4"/>
  <c r="D49" i="4"/>
  <c r="D57" i="4"/>
  <c r="D59" i="4"/>
  <c r="C49" i="4"/>
  <c r="C29" i="4"/>
  <c r="Q15" i="18"/>
  <c r="D29" i="4"/>
  <c r="R15" i="18"/>
  <c r="C40" i="4"/>
  <c r="Q22" i="18"/>
  <c r="D40" i="4"/>
  <c r="D37" i="4"/>
  <c r="D44" i="4"/>
  <c r="C37" i="4"/>
  <c r="C44" i="4"/>
  <c r="C11" i="4"/>
  <c r="Q5" i="18"/>
  <c r="C17" i="4"/>
  <c r="C13" i="4"/>
  <c r="Q6" i="18"/>
  <c r="D13" i="4"/>
  <c r="R6" i="18"/>
  <c r="T17" i="16"/>
  <c r="P17" i="16"/>
  <c r="Q14" i="16"/>
  <c r="C13" i="2"/>
  <c r="Q8" i="16"/>
  <c r="D13" i="2"/>
  <c r="R8" i="16"/>
  <c r="E13" i="2"/>
  <c r="S8" i="16"/>
  <c r="F13" i="2"/>
  <c r="G13" i="2"/>
  <c r="U8" i="16"/>
  <c r="H13" i="2"/>
  <c r="V8" i="16"/>
  <c r="H9" i="2"/>
  <c r="H8" i="2"/>
  <c r="H20" i="2"/>
  <c r="V13" i="16"/>
  <c r="B13" i="2"/>
  <c r="P8" i="16"/>
  <c r="C9" i="2"/>
  <c r="C8" i="2"/>
  <c r="Q4" i="16"/>
  <c r="D9" i="2"/>
  <c r="R4" i="16"/>
  <c r="E9" i="2"/>
  <c r="E8" i="2"/>
  <c r="S3" i="16"/>
  <c r="S4" i="16"/>
  <c r="F9" i="2"/>
  <c r="T4" i="16"/>
  <c r="G9" i="2"/>
  <c r="U4" i="16"/>
  <c r="V4" i="16"/>
  <c r="B9" i="2"/>
  <c r="B8" i="2"/>
  <c r="P4" i="15"/>
  <c r="R22" i="18"/>
  <c r="R27" i="18"/>
  <c r="Q9" i="18"/>
  <c r="Q27" i="18"/>
  <c r="R31" i="18"/>
  <c r="R19" i="18"/>
  <c r="R26" i="18"/>
  <c r="R33" i="18"/>
  <c r="R37" i="18"/>
  <c r="R30" i="18"/>
  <c r="C57" i="4"/>
  <c r="C59" i="4"/>
  <c r="B62" i="1"/>
  <c r="P54" i="15"/>
  <c r="E20" i="2"/>
  <c r="S13" i="16"/>
  <c r="Q67" i="15"/>
  <c r="P2" i="25"/>
  <c r="Q19" i="18"/>
  <c r="R32" i="18"/>
  <c r="Q42" i="15"/>
  <c r="U60" i="20"/>
  <c r="Q4" i="15"/>
  <c r="P95" i="15"/>
  <c r="P106" i="15"/>
  <c r="E20" i="3"/>
  <c r="S5" i="17"/>
  <c r="K14" i="3"/>
  <c r="Y4" i="17"/>
  <c r="B6" i="11"/>
  <c r="B6" i="10"/>
  <c r="P34" i="20"/>
  <c r="R22" i="20"/>
  <c r="D41" i="5"/>
  <c r="R34" i="20"/>
  <c r="U41" i="20"/>
  <c r="G45" i="5"/>
  <c r="U37" i="20"/>
  <c r="P85" i="24"/>
  <c r="P42" i="15"/>
  <c r="D8" i="2"/>
  <c r="T8" i="16"/>
  <c r="F8" i="2"/>
  <c r="B44" i="4"/>
  <c r="B11" i="4"/>
  <c r="B8" i="4"/>
  <c r="P2" i="18"/>
  <c r="K8" i="3"/>
  <c r="Y3" i="17"/>
  <c r="R37" i="20"/>
  <c r="U48" i="20"/>
  <c r="G54" i="5"/>
  <c r="U46" i="20"/>
  <c r="B72" i="4"/>
  <c r="B74" i="4"/>
  <c r="S85" i="24"/>
  <c r="F65" i="5"/>
  <c r="T56" i="20"/>
  <c r="Q85" i="24"/>
  <c r="T95" i="24"/>
  <c r="B32" i="10"/>
  <c r="P23" i="28"/>
  <c r="G32" i="10"/>
  <c r="U23" i="28"/>
  <c r="E32" i="10"/>
  <c r="S23" i="28"/>
  <c r="C32" i="10"/>
  <c r="Q23" i="28"/>
  <c r="R16" i="27"/>
  <c r="U2" i="29"/>
  <c r="Q2" i="29"/>
  <c r="Q16" i="27"/>
  <c r="U2" i="30"/>
  <c r="Q2" i="30"/>
  <c r="S14" i="16"/>
  <c r="X3" i="17"/>
  <c r="S2" i="25"/>
  <c r="G20" i="3"/>
  <c r="U5" i="17"/>
  <c r="C6" i="11"/>
  <c r="D5" i="12"/>
  <c r="C5" i="12"/>
  <c r="A2" i="12"/>
  <c r="A2" i="4"/>
  <c r="A2" i="5"/>
  <c r="A2" i="1"/>
  <c r="A2" i="9"/>
  <c r="A2" i="8"/>
  <c r="A2" i="3"/>
  <c r="A2" i="6"/>
  <c r="A2" i="7"/>
  <c r="A2" i="2"/>
  <c r="A2" i="14"/>
  <c r="U4" i="17"/>
  <c r="W3" i="17"/>
  <c r="R2" i="25"/>
  <c r="D70" i="5"/>
  <c r="C62" i="1"/>
  <c r="Q54" i="15"/>
  <c r="D20" i="2"/>
  <c r="R13" i="16"/>
  <c r="R3" i="16"/>
  <c r="P39" i="18"/>
  <c r="P25" i="18"/>
  <c r="G65" i="5"/>
  <c r="T3" i="16"/>
  <c r="F20" i="2"/>
  <c r="T13" i="16"/>
  <c r="Q25" i="18"/>
  <c r="U56" i="20"/>
  <c r="B21" i="4"/>
  <c r="P12" i="18"/>
  <c r="S20" i="27"/>
  <c r="G24" i="9"/>
  <c r="U16" i="27"/>
  <c r="G21" i="9"/>
  <c r="U13" i="27"/>
  <c r="F21" i="9"/>
  <c r="F33" i="9"/>
  <c r="T24" i="27"/>
  <c r="C21" i="9"/>
  <c r="Q13" i="27"/>
  <c r="U14" i="27"/>
  <c r="U11" i="27"/>
  <c r="T9" i="27"/>
  <c r="E9" i="9"/>
  <c r="U6" i="27"/>
  <c r="B9" i="9"/>
  <c r="D9" i="9"/>
  <c r="R2" i="27"/>
  <c r="C9" i="9"/>
  <c r="Q2" i="27"/>
  <c r="G9" i="9"/>
  <c r="U2" i="27"/>
  <c r="C33" i="9"/>
  <c r="Q24" i="27"/>
  <c r="D33" i="9"/>
  <c r="R24" i="27"/>
  <c r="E9" i="8"/>
  <c r="S2" i="26"/>
  <c r="D9" i="8"/>
  <c r="R2" i="26"/>
  <c r="C9" i="8"/>
  <c r="G71" i="8"/>
  <c r="U63" i="26"/>
  <c r="U66" i="26"/>
  <c r="F43" i="8"/>
  <c r="T35" i="26"/>
  <c r="D43" i="8"/>
  <c r="C43" i="8"/>
  <c r="Q35" i="26"/>
  <c r="G53" i="8"/>
  <c r="U45" i="26"/>
  <c r="U49" i="26"/>
  <c r="T45" i="26"/>
  <c r="G44" i="8"/>
  <c r="U36" i="26"/>
  <c r="G43" i="8"/>
  <c r="U35" i="26"/>
  <c r="U39" i="26"/>
  <c r="B43" i="8"/>
  <c r="G10" i="8"/>
  <c r="U3" i="26"/>
  <c r="G9" i="8"/>
  <c r="U5" i="26"/>
  <c r="C77" i="8"/>
  <c r="Q68" i="26"/>
  <c r="Q2" i="26"/>
  <c r="Q12" i="26"/>
  <c r="G9" i="7"/>
  <c r="G103" i="7"/>
  <c r="U4" i="25"/>
  <c r="D103" i="7"/>
  <c r="R4" i="25"/>
  <c r="C103" i="7"/>
  <c r="Q4" i="25"/>
  <c r="E103" i="7"/>
  <c r="S4" i="25"/>
  <c r="R3" i="25"/>
  <c r="F103" i="7"/>
  <c r="T4" i="25"/>
  <c r="G150" i="6"/>
  <c r="U142" i="24"/>
  <c r="U144" i="24"/>
  <c r="F84" i="6"/>
  <c r="T76" i="24"/>
  <c r="G113" i="6"/>
  <c r="U105" i="24"/>
  <c r="C84" i="6"/>
  <c r="Q76" i="24"/>
  <c r="D84" i="6"/>
  <c r="R76" i="24"/>
  <c r="U108" i="24"/>
  <c r="E84" i="6"/>
  <c r="S76" i="24"/>
  <c r="U77" i="24"/>
  <c r="G84" i="6"/>
  <c r="U76" i="24"/>
  <c r="B84" i="6"/>
  <c r="P76" i="24"/>
  <c r="U78" i="24"/>
  <c r="G75" i="6"/>
  <c r="U68" i="24"/>
  <c r="U56" i="24"/>
  <c r="U52" i="24"/>
  <c r="U44" i="24"/>
  <c r="F9" i="6"/>
  <c r="F159" i="6"/>
  <c r="T150" i="24"/>
  <c r="E9" i="6"/>
  <c r="S2" i="24"/>
  <c r="D9" i="6"/>
  <c r="R2" i="24"/>
  <c r="T11" i="24"/>
  <c r="R11" i="24"/>
  <c r="G18" i="6"/>
  <c r="U11" i="24"/>
  <c r="U13" i="24"/>
  <c r="C9" i="6"/>
  <c r="G10" i="6"/>
  <c r="U3" i="24"/>
  <c r="B9" i="6"/>
  <c r="B23" i="4"/>
  <c r="B57" i="4"/>
  <c r="B59" i="4"/>
  <c r="P5" i="18"/>
  <c r="C8" i="4"/>
  <c r="P3" i="16"/>
  <c r="B20" i="2"/>
  <c r="P13" i="16"/>
  <c r="Q3" i="16"/>
  <c r="C20" i="2"/>
  <c r="Q13" i="16"/>
  <c r="R25" i="18"/>
  <c r="D11" i="4"/>
  <c r="P104" i="15"/>
  <c r="B70" i="5"/>
  <c r="P56" i="20"/>
  <c r="P38" i="18"/>
  <c r="G6" i="11"/>
  <c r="H20" i="3"/>
  <c r="V5" i="17"/>
  <c r="K20" i="3"/>
  <c r="Y5" i="17"/>
  <c r="F41" i="5"/>
  <c r="J20" i="3"/>
  <c r="X5" i="17"/>
  <c r="P37" i="20"/>
  <c r="E79" i="1"/>
  <c r="P119" i="15"/>
  <c r="G75" i="5"/>
  <c r="U62" i="20"/>
  <c r="F47" i="1"/>
  <c r="F79" i="1"/>
  <c r="Q119" i="15"/>
  <c r="D72" i="4"/>
  <c r="C72" i="4"/>
  <c r="V3" i="16"/>
  <c r="G8" i="2"/>
  <c r="P4" i="16"/>
  <c r="C65" i="5"/>
  <c r="Q56" i="20"/>
  <c r="U53" i="20"/>
  <c r="B103" i="7"/>
  <c r="P4" i="25"/>
  <c r="P3" i="25"/>
  <c r="G41" i="5"/>
  <c r="Q63" i="26"/>
  <c r="E43" i="8"/>
  <c r="S12" i="26"/>
  <c r="F9" i="8"/>
  <c r="R9" i="27"/>
  <c r="T21" i="28"/>
  <c r="R21" i="28"/>
  <c r="T13" i="27"/>
  <c r="G33" i="9"/>
  <c r="U24" i="27"/>
  <c r="S2" i="27"/>
  <c r="E33" i="9"/>
  <c r="S24" i="27"/>
  <c r="P2" i="27"/>
  <c r="B33" i="9"/>
  <c r="P24" i="27"/>
  <c r="D77" i="8"/>
  <c r="R68" i="26"/>
  <c r="R35" i="26"/>
  <c r="P35" i="26"/>
  <c r="B77" i="8"/>
  <c r="P68" i="26"/>
  <c r="U2" i="26"/>
  <c r="G77" i="8"/>
  <c r="U68" i="26"/>
  <c r="U2" i="25"/>
  <c r="D159" i="6"/>
  <c r="R150" i="24"/>
  <c r="T2" i="24"/>
  <c r="E159" i="6"/>
  <c r="S150" i="24"/>
  <c r="G9" i="6"/>
  <c r="U2" i="24"/>
  <c r="C159" i="6"/>
  <c r="Q150" i="24"/>
  <c r="Q2" i="24"/>
  <c r="P2" i="24"/>
  <c r="B159" i="6"/>
  <c r="P150" i="24"/>
  <c r="P13" i="18"/>
  <c r="B25" i="4"/>
  <c r="G42" i="5"/>
  <c r="U35" i="20"/>
  <c r="U34" i="20"/>
  <c r="G70" i="5"/>
  <c r="G20" i="2"/>
  <c r="U13" i="16"/>
  <c r="U3" i="16"/>
  <c r="C74" i="4"/>
  <c r="Q39" i="18"/>
  <c r="Q38" i="18"/>
  <c r="C70" i="5"/>
  <c r="T34" i="20"/>
  <c r="F70" i="5"/>
  <c r="E81" i="1"/>
  <c r="P120" i="15"/>
  <c r="R5" i="18"/>
  <c r="D8" i="4"/>
  <c r="T2" i="26"/>
  <c r="F77" i="8"/>
  <c r="T68" i="26"/>
  <c r="S35" i="26"/>
  <c r="E77" i="8"/>
  <c r="S68" i="26"/>
  <c r="D74" i="4"/>
  <c r="R39" i="18"/>
  <c r="R38" i="18"/>
  <c r="F59" i="1"/>
  <c r="Q95" i="15"/>
  <c r="Q2" i="18"/>
  <c r="C21" i="4"/>
  <c r="G159" i="6"/>
  <c r="U150" i="24"/>
  <c r="P14" i="18"/>
  <c r="B33" i="4"/>
  <c r="P18" i="18"/>
  <c r="Q104" i="15"/>
  <c r="F81" i="1"/>
  <c r="Q120" i="15"/>
  <c r="Q12" i="18"/>
  <c r="C23" i="4"/>
  <c r="D21" i="4"/>
  <c r="R2" i="18"/>
  <c r="Q13" i="18"/>
  <c r="C25" i="4"/>
  <c r="R12" i="18"/>
  <c r="D23" i="4"/>
  <c r="D25" i="4"/>
  <c r="R13" i="18"/>
  <c r="Q14" i="18"/>
  <c r="C33" i="4"/>
  <c r="Q18" i="18"/>
  <c r="R14" i="18"/>
  <c r="D33" i="4"/>
  <c r="R18" i="18"/>
</calcChain>
</file>

<file path=xl/sharedStrings.xml><?xml version="1.0" encoding="utf-8"?>
<sst xmlns="http://schemas.openxmlformats.org/spreadsheetml/2006/main" count="4317" uniqueCount="3342">
  <si>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</si>
  <si>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</si>
  <si>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</si>
  <si>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</si>
  <si>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</si>
  <si>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</si>
  <si>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</si>
  <si>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</si>
  <si>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</si>
  <si>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</si>
  <si>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</si>
  <si>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</si>
  <si>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</si>
  <si>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</si>
  <si>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</si>
  <si>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</si>
  <si>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</si>
  <si>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</si>
  <si>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</si>
  <si>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</si>
  <si>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</si>
  <si>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</si>
  <si>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</si>
  <si>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</si>
  <si>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</si>
  <si>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</si>
  <si>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</si>
  <si>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</si>
  <si>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</si>
  <si>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</si>
  <si>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</si>
  <si>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</si>
  <si>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</si>
  <si>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</si>
  <si>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</si>
  <si>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</si>
  <si>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</si>
  <si>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</si>
  <si>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</si>
  <si>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</si>
  <si>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</si>
  <si>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</si>
  <si>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</si>
  <si>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</si>
  <si>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</si>
  <si>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</si>
  <si>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</si>
  <si>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</si>
  <si>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</si>
  <si>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</si>
  <si>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</si>
  <si>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</si>
  <si>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</si>
  <si>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</si>
  <si>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</si>
  <si>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</si>
  <si>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</si>
  <si>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</si>
  <si>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</si>
  <si>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</si>
  <si>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</si>
  <si>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</si>
  <si>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</si>
  <si>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</si>
  <si>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</si>
  <si>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</si>
  <si>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</si>
  <si>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</si>
  <si>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</si>
  <si>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</si>
  <si>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</si>
  <si>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</si>
  <si>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</si>
  <si>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</si>
  <si>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</si>
  <si>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</si>
  <si>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</si>
  <si>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</si>
  <si>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</si>
  <si>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</si>
  <si>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</si>
  <si>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</si>
  <si>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</si>
  <si>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</si>
  <si>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</si>
  <si>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</si>
  <si>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</si>
  <si>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</si>
  <si>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</si>
  <si>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</si>
  <si>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</si>
  <si>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</si>
  <si>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</si>
  <si>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</si>
  <si>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</si>
  <si>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</si>
  <si>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</si>
  <si>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</si>
  <si>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</si>
  <si>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</si>
  <si>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</si>
  <si>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</si>
  <si>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</si>
  <si>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</si>
  <si>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</si>
  <si>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</si>
  <si>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</si>
  <si>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</si>
  <si>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</si>
  <si>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</si>
  <si>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</si>
  <si>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</si>
  <si>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</si>
  <si>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</si>
  <si>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</si>
  <si>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</si>
  <si>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</si>
  <si>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</si>
  <si>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</si>
  <si>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</si>
  <si>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</si>
  <si>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</si>
  <si>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</si>
  <si>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</si>
  <si>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</si>
  <si>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</si>
  <si>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</si>
  <si>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</si>
  <si>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</si>
  <si>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</si>
  <si>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</si>
  <si>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</si>
  <si>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</si>
  <si>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</si>
  <si>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</si>
  <si>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</si>
  <si>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</si>
  <si>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</si>
  <si>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</si>
  <si>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</si>
  <si>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</si>
  <si>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</si>
  <si>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</si>
  <si>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</si>
  <si>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</si>
  <si>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</si>
  <si>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</si>
  <si>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</si>
  <si>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</si>
  <si>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</si>
  <si>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</si>
  <si>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</si>
  <si>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</si>
  <si>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</si>
  <si>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</si>
  <si>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</si>
  <si>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</si>
  <si>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</si>
  <si>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</si>
  <si>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</si>
  <si>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</si>
  <si>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</si>
  <si>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</si>
  <si>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</si>
  <si>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</si>
  <si>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</si>
  <si>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</si>
  <si>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</si>
  <si>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</si>
  <si>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</si>
  <si>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</si>
  <si>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</si>
  <si>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</si>
  <si>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</si>
  <si>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</si>
  <si>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</si>
  <si>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</si>
  <si>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</si>
  <si>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</si>
  <si>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</si>
  <si>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</si>
  <si>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</si>
  <si>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</si>
  <si>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</si>
  <si>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</si>
  <si>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</si>
  <si>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</si>
  <si>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</si>
  <si>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</si>
  <si>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</si>
  <si>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</si>
  <si>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</si>
  <si>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</si>
  <si>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</si>
  <si>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</si>
  <si>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</si>
  <si>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</si>
  <si>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</si>
  <si>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</si>
  <si>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</si>
  <si>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</si>
  <si>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</si>
  <si>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</si>
  <si>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</si>
  <si>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</si>
  <si>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</si>
  <si>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</si>
  <si>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</si>
  <si>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</si>
  <si>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</si>
  <si>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</si>
  <si>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</si>
  <si>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</si>
  <si>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</si>
  <si>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</si>
  <si>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</si>
  <si>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</si>
  <si>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</si>
  <si>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</si>
  <si>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</si>
  <si>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</si>
  <si>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</si>
  <si>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</si>
  <si>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</si>
  <si>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</si>
  <si>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</si>
  <si>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</si>
  <si>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</si>
  <si>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</si>
  <si>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</si>
  <si>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</si>
  <si>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</si>
  <si>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</si>
  <si>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</si>
  <si>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</si>
  <si>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</si>
  <si>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</si>
  <si>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</si>
  <si>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</si>
  <si>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</si>
  <si>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</si>
  <si>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</si>
  <si>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</si>
  <si>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</si>
  <si>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</si>
  <si>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</si>
  <si>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</si>
  <si>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</si>
  <si>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</si>
  <si>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</si>
  <si>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</si>
  <si>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</si>
  <si>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</si>
  <si>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</si>
  <si>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</si>
  <si>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</si>
  <si>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</si>
  <si>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</si>
  <si>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</si>
  <si>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</si>
  <si>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</si>
  <si>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</si>
  <si>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</si>
  <si>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</si>
  <si>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</si>
  <si>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</si>
  <si>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</si>
  <si>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</si>
  <si>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</si>
  <si>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</si>
  <si>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</si>
  <si>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</si>
  <si>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</si>
  <si>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</si>
  <si>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</si>
  <si>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</si>
  <si>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</si>
  <si>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</si>
  <si>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</si>
  <si>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</si>
  <si>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</si>
  <si>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</si>
  <si>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</si>
  <si>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</si>
  <si>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</si>
  <si>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</si>
  <si>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</si>
  <si>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</si>
  <si>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</si>
  <si>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</si>
  <si>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</si>
  <si>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</si>
  <si>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</si>
  <si>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</si>
  <si>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</si>
  <si>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</si>
  <si>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</si>
  <si>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</si>
  <si>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</si>
  <si>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</si>
  <si>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</si>
  <si>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</si>
  <si>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</si>
  <si>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</si>
  <si>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</si>
  <si>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</si>
  <si>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</si>
  <si>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</si>
  <si>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</si>
  <si>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</si>
  <si>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</si>
  <si>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</si>
  <si>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</si>
  <si>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</si>
  <si>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</si>
  <si>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</si>
  <si>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</si>
  <si>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</si>
  <si>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</si>
  <si>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</si>
  <si>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</si>
  <si>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</si>
  <si>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</si>
  <si>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</si>
  <si>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</si>
  <si>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</si>
  <si>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</si>
  <si>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</si>
  <si>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</si>
  <si>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</si>
  <si>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</si>
  <si>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</si>
  <si>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</si>
  <si>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</si>
  <si>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</si>
  <si>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</si>
  <si>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</si>
  <si>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</si>
  <si>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</si>
  <si>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</si>
  <si>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</si>
  <si>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</si>
  <si>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</si>
  <si>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</si>
  <si>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</si>
  <si>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</si>
  <si>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</si>
  <si>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</si>
  <si>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</si>
  <si>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</si>
  <si>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</si>
  <si>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</si>
  <si>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</si>
  <si>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</si>
  <si>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</si>
  <si>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</si>
  <si>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</si>
  <si>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</si>
  <si>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</si>
  <si>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</si>
  <si>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</si>
  <si>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</si>
  <si>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</si>
  <si>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</si>
  <si>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</si>
  <si>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</si>
  <si>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</si>
  <si>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</si>
  <si>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</si>
  <si>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</si>
  <si>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</si>
  <si>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</si>
  <si>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</si>
  <si>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</si>
  <si>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</si>
  <si>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</si>
  <si>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</si>
  <si>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</si>
  <si>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</si>
  <si>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</si>
  <si>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</si>
  <si>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</si>
  <si>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</si>
  <si>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</si>
  <si>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</si>
  <si>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</si>
  <si>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</si>
  <si>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</si>
  <si>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</si>
  <si>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</si>
  <si>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</si>
  <si>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</si>
  <si>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</si>
  <si>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</si>
  <si>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</si>
  <si>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</si>
  <si>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</si>
  <si>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</si>
  <si>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</si>
  <si>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</si>
  <si>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</si>
  <si>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</si>
  <si>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</si>
  <si>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</si>
  <si>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</si>
  <si>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</si>
  <si>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</si>
  <si>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</si>
  <si>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</si>
  <si>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</si>
  <si>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</si>
  <si>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</si>
  <si>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</si>
  <si>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</si>
  <si>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</si>
  <si>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</si>
  <si>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</si>
  <si>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</si>
  <si>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</si>
  <si>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</si>
  <si>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</si>
  <si>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</si>
  <si>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</si>
  <si>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</si>
  <si>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</si>
  <si>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</si>
  <si>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</si>
  <si>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</si>
  <si>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</si>
  <si>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</si>
  <si>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</si>
  <si>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</si>
  <si>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</si>
  <si>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</si>
  <si>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</si>
  <si>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</si>
  <si>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</si>
  <si>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</si>
  <si>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</si>
  <si>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</si>
  <si>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</si>
  <si>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</si>
  <si>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</si>
  <si>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</si>
  <si>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</si>
  <si>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</si>
  <si>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</si>
  <si>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</si>
  <si>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</si>
  <si>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</si>
  <si>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</si>
  <si>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</si>
  <si>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</si>
  <si>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</si>
  <si>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</si>
  <si>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</si>
  <si>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</si>
  <si>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</si>
  <si>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</si>
  <si>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</si>
  <si>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</si>
  <si>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</si>
  <si>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</si>
  <si>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</si>
  <si>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</si>
  <si>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</si>
  <si>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</si>
  <si>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</si>
  <si>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</si>
  <si>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</si>
  <si>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</si>
  <si>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</si>
  <si>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</si>
  <si>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</si>
  <si>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</si>
  <si>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</si>
  <si>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</si>
  <si>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</si>
  <si>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</si>
  <si>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</si>
  <si>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</si>
  <si>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</si>
  <si>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</si>
  <si>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</si>
  <si>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</si>
  <si>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</si>
  <si>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</si>
  <si>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</si>
  <si>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</si>
  <si>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</si>
  <si>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</si>
  <si>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</si>
  <si>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</si>
  <si>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</si>
  <si>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</si>
  <si>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</si>
  <si>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</si>
  <si>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</si>
  <si>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</si>
  <si>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</si>
  <si>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</si>
  <si>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</si>
  <si>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</si>
  <si>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</si>
  <si>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</si>
  <si>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</si>
  <si>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</si>
  <si>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</si>
  <si>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</si>
  <si>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</si>
  <si>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</si>
  <si>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</si>
  <si>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</si>
  <si>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</si>
  <si>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</si>
  <si>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</si>
  <si>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</si>
  <si>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</si>
  <si>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</si>
  <si>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</si>
  <si>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</si>
  <si>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</si>
  <si>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</si>
  <si>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</si>
  <si>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</si>
  <si>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</si>
  <si>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</si>
  <si>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</si>
  <si>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</si>
  <si>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</si>
  <si>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</si>
  <si>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</si>
  <si>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</si>
  <si>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</si>
  <si>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</si>
  <si>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</si>
  <si>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</si>
  <si>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</si>
  <si>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</si>
  <si>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</si>
  <si>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</si>
  <si>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</si>
  <si>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</si>
  <si>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</si>
  <si>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</si>
  <si>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</si>
  <si>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</si>
  <si>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</si>
  <si>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</si>
  <si>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</si>
  <si>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</si>
  <si>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</si>
  <si>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</si>
  <si>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</si>
  <si>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</si>
  <si>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</si>
  <si>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</si>
  <si>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</si>
  <si>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</si>
  <si>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</si>
  <si>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</si>
  <si>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</si>
  <si>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</si>
  <si>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</si>
  <si>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</si>
  <si>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</si>
  <si>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</si>
  <si>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</si>
  <si>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</si>
  <si>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</si>
  <si>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</si>
  <si>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</si>
  <si>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</si>
  <si>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</si>
  <si>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</si>
  <si>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</si>
  <si>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</si>
  <si>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</si>
  <si>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</si>
  <si>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</si>
  <si>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</si>
  <si>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</si>
  <si>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</si>
  <si>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</si>
  <si>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</si>
  <si>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</si>
  <si>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</si>
  <si>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</si>
  <si>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</si>
  <si>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</si>
  <si>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</si>
  <si>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</si>
  <si>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</si>
  <si>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</si>
  <si>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</si>
  <si>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</si>
  <si>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</si>
  <si>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</si>
  <si>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</si>
  <si>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</si>
  <si>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</si>
  <si>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</si>
  <si>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</si>
  <si>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</si>
  <si>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</si>
  <si>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</si>
  <si>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</si>
  <si>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</si>
  <si>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</si>
  <si>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</si>
  <si>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</si>
  <si>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</si>
  <si>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</si>
  <si>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</si>
  <si>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</si>
  <si>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</si>
  <si>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</si>
  <si>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</si>
  <si>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</si>
  <si>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</si>
  <si>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</si>
  <si>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</si>
  <si>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</si>
  <si>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</si>
  <si>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</si>
  <si>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</si>
  <si>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</si>
  <si>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</si>
  <si>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</si>
  <si>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</si>
  <si>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</si>
  <si>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</si>
  <si>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</si>
  <si>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</si>
  <si>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</si>
  <si>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</si>
  <si>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</si>
  <si>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</si>
  <si>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</si>
  <si>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</si>
  <si>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</si>
  <si>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</si>
  <si>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</si>
  <si>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</si>
  <si>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</si>
  <si>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</si>
  <si>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</si>
  <si>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</si>
  <si>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</si>
  <si>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</si>
  <si>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</si>
  <si>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</si>
  <si>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</si>
  <si>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</si>
  <si>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</si>
  <si>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</si>
  <si>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</si>
  <si>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</si>
  <si>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</si>
  <si>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</si>
  <si>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</si>
  <si>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</si>
  <si>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</si>
  <si>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</si>
  <si>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</si>
  <si>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</si>
  <si>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</si>
  <si>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</si>
  <si>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</si>
  <si>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</si>
  <si>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</si>
  <si>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</si>
  <si>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</si>
  <si>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</si>
  <si>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</si>
  <si>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</si>
  <si>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</si>
  <si>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</si>
  <si>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</si>
  <si>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</si>
  <si>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</si>
  <si>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</si>
  <si>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</si>
  <si>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</si>
  <si>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</si>
  <si>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</si>
  <si>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</si>
  <si>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</si>
  <si>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</si>
  <si>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</si>
  <si>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</si>
  <si>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</si>
  <si>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</si>
  <si>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</si>
  <si>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</si>
  <si>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</si>
  <si>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</si>
  <si>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</si>
  <si>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</si>
  <si>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</si>
  <si>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</si>
  <si>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</si>
  <si>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</si>
  <si>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</si>
  <si>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</si>
  <si>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</si>
  <si>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</si>
  <si>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</si>
  <si>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</si>
  <si>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</si>
  <si>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</si>
  <si>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</si>
  <si>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</si>
  <si>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</si>
  <si>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</si>
  <si>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</si>
  <si>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</si>
  <si>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</si>
  <si>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</si>
  <si>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</si>
  <si>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</si>
  <si>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</si>
  <si>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</si>
  <si>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</si>
  <si>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</si>
  <si>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</si>
  <si>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</si>
  <si>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</si>
  <si>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</si>
  <si>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</si>
  <si>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</si>
  <si>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</si>
  <si>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</si>
  <si>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</si>
  <si>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</si>
  <si>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</si>
  <si>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</si>
  <si>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</si>
  <si>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</si>
  <si>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</si>
  <si>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</si>
  <si>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</si>
  <si>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</si>
  <si>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</si>
  <si>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</si>
  <si>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</si>
  <si>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</si>
  <si>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</si>
  <si>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</si>
  <si>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</si>
  <si>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</si>
  <si>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</si>
  <si>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</si>
  <si>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</si>
  <si>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</si>
  <si>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</si>
  <si>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</si>
  <si>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</si>
  <si>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</si>
  <si>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</si>
  <si>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</si>
  <si>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</si>
  <si>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</si>
  <si>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</si>
  <si>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</si>
  <si>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</si>
  <si>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</si>
  <si>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</si>
  <si>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</si>
  <si>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</si>
  <si>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</si>
  <si>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</si>
  <si>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</si>
  <si>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</si>
  <si>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</si>
  <si>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</si>
  <si>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</si>
  <si>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</si>
  <si>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</si>
  <si>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</si>
  <si>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</si>
  <si>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</si>
  <si>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</si>
  <si>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</si>
  <si>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</si>
  <si>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</si>
  <si>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</si>
  <si>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</si>
  <si>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</si>
  <si>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</si>
  <si>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</si>
  <si>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</si>
  <si>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</si>
  <si>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</si>
  <si>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</si>
  <si>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</si>
  <si>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</si>
  <si>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</si>
  <si>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</si>
  <si>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</si>
  <si>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</si>
  <si>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</si>
  <si>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</si>
  <si>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</si>
  <si>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</si>
  <si>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</si>
  <si>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</si>
  <si>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</si>
  <si>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</si>
  <si>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</si>
  <si>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</si>
  <si>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</si>
  <si>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</si>
  <si>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</si>
  <si>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</si>
  <si>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</si>
  <si>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</si>
  <si>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</si>
  <si>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</si>
  <si>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</si>
  <si>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</si>
  <si>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</si>
  <si>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</si>
  <si>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</si>
  <si>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</si>
  <si>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</si>
  <si>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</si>
  <si>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</si>
  <si>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</si>
  <si>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</si>
  <si>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</si>
  <si>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</si>
  <si>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</si>
  <si>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</si>
  <si>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</si>
  <si>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</si>
  <si>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</si>
  <si>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</si>
  <si>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</si>
  <si>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</si>
  <si>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</si>
  <si>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</si>
  <si>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</si>
  <si>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</si>
  <si>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</si>
  <si>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</si>
  <si>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</si>
  <si>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</si>
  <si>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</si>
  <si>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</si>
  <si>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</si>
  <si>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</si>
  <si>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</si>
  <si>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</si>
  <si>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</si>
  <si>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</si>
  <si>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</si>
  <si>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</si>
  <si>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</si>
  <si>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</si>
  <si>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</si>
  <si>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</si>
  <si>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</si>
  <si>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</si>
  <si>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</si>
  <si>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</si>
  <si>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</si>
  <si>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</si>
  <si>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</si>
  <si>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</si>
  <si>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</si>
  <si>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</si>
  <si>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</si>
  <si>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</si>
  <si>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</si>
  <si>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</si>
  <si>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</si>
  <si>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</si>
  <si>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</si>
  <si>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</si>
  <si>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</si>
  <si>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</si>
  <si>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</si>
  <si>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</si>
  <si>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</si>
  <si>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</si>
  <si>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</si>
  <si>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</si>
  <si>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</si>
  <si>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</si>
  <si>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</si>
  <si>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</si>
  <si>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</si>
  <si>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</si>
  <si>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</si>
  <si>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</si>
  <si>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</si>
  <si>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</si>
  <si>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</si>
  <si>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</si>
  <si>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</si>
  <si>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</si>
  <si>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</si>
  <si>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</si>
  <si>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</si>
  <si>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</si>
  <si>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</si>
  <si>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</si>
  <si>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</si>
  <si>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</si>
  <si>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</si>
  <si>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</si>
  <si>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</si>
  <si>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</si>
  <si>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</si>
  <si>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</si>
  <si>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</si>
  <si>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</si>
  <si>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</si>
  <si>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</si>
  <si>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</si>
  <si>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</si>
  <si>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</si>
  <si>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</si>
  <si>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</si>
  <si>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</si>
  <si>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</si>
  <si>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</si>
  <si>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</si>
  <si>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</si>
  <si>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</si>
  <si>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</si>
  <si>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</si>
  <si>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</si>
  <si>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</si>
  <si>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</si>
  <si>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</si>
  <si>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</si>
  <si>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</si>
  <si>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</si>
  <si>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</si>
  <si>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</si>
  <si>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</si>
  <si>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</si>
  <si>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</si>
  <si>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</si>
  <si>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</si>
  <si>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</si>
  <si>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</si>
  <si>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</si>
  <si>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</si>
  <si>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</si>
  <si>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</si>
  <si>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</si>
  <si>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</si>
  <si>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</si>
  <si>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</si>
  <si>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</si>
  <si>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</si>
  <si>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</si>
  <si>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</si>
  <si>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</si>
  <si>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</si>
  <si>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</si>
  <si>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</si>
  <si>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</si>
  <si>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</si>
  <si>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</si>
  <si>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</si>
  <si>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</si>
  <si>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</si>
  <si>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</si>
  <si>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</si>
  <si>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</si>
  <si>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</si>
  <si>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</si>
  <si>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</si>
  <si>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</si>
  <si>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</si>
  <si>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</si>
  <si>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</si>
  <si>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</si>
  <si>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</si>
  <si>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</si>
  <si>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</si>
  <si>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</si>
  <si>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</si>
  <si>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</si>
  <si>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</si>
  <si>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</si>
  <si>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</si>
  <si>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</si>
  <si>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</si>
  <si>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</si>
  <si>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</si>
  <si>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</si>
  <si>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</si>
  <si>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</si>
  <si>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</si>
  <si>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</si>
  <si>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</si>
  <si>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</si>
  <si>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</si>
  <si>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</si>
  <si>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</si>
  <si>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</si>
  <si>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</si>
  <si>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</si>
  <si>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</si>
  <si>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</si>
  <si>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</si>
  <si>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</si>
  <si>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</si>
  <si>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</si>
  <si>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</si>
  <si>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</si>
  <si>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</si>
  <si>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</si>
  <si>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</si>
  <si>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</si>
  <si>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</si>
  <si>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</si>
  <si>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</si>
  <si>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</si>
  <si>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</si>
  <si>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</si>
  <si>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</si>
  <si>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</si>
  <si>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</si>
  <si>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</si>
  <si>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</si>
  <si>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</si>
  <si>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</si>
  <si>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</si>
  <si>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</si>
  <si>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</si>
  <si>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</si>
  <si>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</si>
  <si>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</si>
  <si>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</si>
  <si>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</si>
  <si>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</si>
  <si>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</si>
  <si>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</si>
  <si>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</si>
  <si>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</si>
  <si>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</si>
  <si>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</si>
  <si>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</si>
  <si>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</si>
  <si>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</si>
  <si>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</si>
  <si>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</si>
  <si>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</si>
  <si>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</si>
  <si>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</si>
  <si>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</si>
  <si>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</si>
  <si>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</si>
  <si>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</si>
  <si>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</si>
  <si>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</si>
  <si>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</si>
  <si>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</si>
  <si>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</si>
  <si>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</si>
  <si>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</si>
  <si>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</si>
  <si>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</si>
  <si>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</si>
  <si>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</si>
  <si>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</si>
  <si>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</si>
  <si>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</si>
  <si>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</si>
  <si>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</si>
  <si>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</si>
  <si>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</si>
  <si>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</si>
  <si>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</si>
  <si>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</si>
  <si>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</si>
  <si>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</si>
  <si>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</si>
  <si>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</si>
  <si>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</si>
  <si>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</si>
  <si>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</si>
  <si>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</si>
  <si>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</si>
  <si>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</si>
  <si>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</si>
  <si>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</si>
  <si>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</si>
  <si>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</si>
  <si>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</si>
  <si>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</si>
  <si>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</si>
  <si>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</si>
  <si>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</si>
  <si>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</si>
  <si>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</si>
  <si>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</si>
  <si>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</si>
  <si>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</si>
  <si>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</si>
  <si>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</si>
  <si>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</si>
  <si>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</si>
  <si>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</si>
  <si>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</si>
  <si>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</si>
  <si>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</si>
  <si>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</si>
  <si>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</si>
  <si>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</si>
  <si>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</si>
  <si>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</si>
  <si>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</si>
  <si>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</si>
  <si>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</si>
  <si>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</si>
  <si>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</si>
  <si>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</si>
  <si>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</si>
  <si>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</si>
  <si>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</si>
  <si>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</si>
  <si>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</si>
  <si>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</si>
  <si>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</si>
  <si>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</si>
  <si>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</si>
  <si>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</si>
  <si>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</si>
  <si>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</si>
  <si>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</si>
  <si>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</si>
  <si>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</si>
  <si>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</si>
  <si>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</si>
  <si>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</si>
  <si>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</si>
  <si>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</si>
  <si>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</si>
  <si>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</si>
  <si>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</si>
  <si>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</si>
  <si>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</si>
  <si>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</si>
  <si>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</si>
  <si>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</si>
  <si>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</si>
  <si>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</si>
  <si>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</si>
  <si>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</si>
  <si>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</si>
  <si>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</si>
  <si>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</si>
  <si>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</si>
  <si>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</si>
  <si>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</si>
  <si>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</si>
  <si>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</si>
  <si>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</si>
  <si>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</si>
  <si>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</si>
  <si>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</si>
  <si>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</si>
  <si>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</si>
  <si>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</si>
  <si>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</si>
  <si>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</si>
  <si>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</si>
  <si>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</si>
  <si>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</si>
  <si>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</si>
  <si>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</si>
  <si>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</si>
  <si>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</si>
  <si>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</si>
  <si>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</si>
  <si>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</si>
  <si>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</si>
  <si>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</si>
  <si>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</si>
  <si>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</si>
  <si>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</si>
  <si>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</si>
  <si>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</si>
  <si>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</si>
  <si>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</si>
  <si>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</si>
  <si>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</si>
  <si>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</si>
  <si>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</si>
  <si>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</si>
  <si>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</si>
  <si>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</si>
  <si>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</si>
  <si>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</si>
  <si>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</si>
  <si>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</si>
  <si>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</si>
  <si>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</si>
  <si>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</si>
  <si>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</si>
  <si>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</si>
  <si>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</si>
  <si>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</si>
  <si>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</si>
  <si>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</si>
  <si>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</si>
  <si>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</si>
  <si>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</si>
  <si>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</si>
  <si>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</si>
  <si>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</si>
  <si>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</si>
  <si>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</si>
  <si>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</si>
  <si>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</si>
  <si>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</si>
  <si>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</si>
  <si>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</si>
  <si>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</si>
  <si>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</si>
  <si>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</si>
  <si>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</si>
  <si>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</si>
  <si>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</si>
  <si>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</si>
  <si>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</si>
  <si>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</si>
  <si>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</si>
  <si>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</si>
  <si>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</si>
  <si>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</si>
  <si>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</si>
  <si>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</si>
  <si>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</si>
  <si>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</si>
  <si>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</si>
  <si>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</si>
  <si>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</si>
  <si>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</si>
  <si>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</si>
  <si>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</si>
  <si>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</si>
  <si>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</si>
  <si>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</si>
  <si>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</si>
  <si>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</si>
  <si>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</si>
  <si>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</si>
  <si>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</si>
  <si>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</si>
  <si>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</si>
  <si>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</si>
  <si>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</si>
  <si>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</si>
  <si>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</si>
  <si>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</si>
  <si>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</si>
  <si>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</si>
  <si>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</si>
  <si>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</si>
  <si>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</si>
  <si>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</si>
  <si>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</si>
  <si>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</si>
  <si>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</si>
  <si>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</si>
  <si>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</si>
  <si>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</si>
  <si>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</si>
  <si>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</si>
  <si>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</si>
  <si>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</si>
  <si>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</si>
  <si>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</si>
  <si>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</si>
  <si>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</si>
  <si>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</si>
  <si>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</si>
  <si>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</si>
  <si>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</si>
  <si>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</si>
  <si>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</si>
  <si>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</si>
  <si>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</si>
  <si>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</si>
  <si>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</si>
  <si>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</si>
  <si>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</si>
  <si>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</si>
  <si>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</si>
  <si>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</si>
  <si>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</si>
  <si>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</si>
  <si>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</si>
  <si>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</si>
  <si>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</si>
  <si>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</si>
  <si>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</si>
  <si>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</si>
  <si>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</si>
  <si>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</si>
  <si>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</si>
  <si>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</si>
  <si>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</si>
  <si>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</si>
  <si>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</si>
  <si>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</si>
  <si>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</si>
  <si>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</si>
  <si>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</si>
  <si>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</si>
  <si>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</si>
  <si>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</si>
  <si>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</si>
  <si>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</si>
  <si>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</si>
  <si>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</si>
  <si>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</si>
  <si>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</si>
  <si>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</si>
  <si>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</si>
  <si>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</si>
  <si>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</si>
  <si>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</si>
  <si>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</si>
  <si>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</si>
  <si>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</si>
  <si>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</si>
  <si>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</si>
  <si>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</si>
  <si>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</si>
  <si>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</si>
  <si>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</si>
  <si>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</si>
  <si>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</si>
  <si>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</si>
  <si>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</si>
  <si>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</si>
  <si>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</si>
  <si>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</si>
  <si>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</si>
  <si>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</si>
  <si>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</si>
  <si>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</si>
  <si>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</si>
  <si>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</si>
  <si>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</si>
  <si>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</si>
  <si>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</si>
  <si>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</si>
  <si>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</si>
  <si>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</si>
  <si>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</si>
  <si>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</si>
  <si>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</si>
  <si>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</si>
  <si>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</si>
  <si>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</si>
  <si>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</si>
  <si>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</si>
  <si>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</si>
  <si>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</si>
  <si>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</si>
  <si>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</si>
  <si>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</si>
  <si>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</si>
  <si>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</si>
  <si>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</si>
  <si>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</si>
  <si>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</si>
  <si>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</si>
  <si>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</si>
  <si>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</si>
  <si>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</si>
  <si>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</si>
  <si>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</si>
  <si>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</si>
  <si>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</si>
  <si>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</si>
  <si>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</si>
  <si>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</si>
  <si>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</si>
  <si>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</si>
  <si>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</si>
  <si>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</si>
  <si>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</si>
  <si>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</si>
  <si>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</si>
  <si>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</si>
  <si>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</si>
  <si>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</si>
  <si>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</si>
  <si>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</si>
  <si>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</si>
  <si>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</si>
  <si>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</si>
  <si>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</si>
  <si>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</si>
  <si>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</si>
  <si>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</si>
  <si>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</si>
  <si>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</si>
  <si>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</si>
  <si>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</si>
  <si>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</si>
  <si>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</si>
  <si>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</si>
  <si>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</si>
  <si>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</si>
  <si>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</si>
  <si>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</si>
  <si>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</si>
  <si>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</si>
  <si>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</si>
  <si>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</si>
  <si>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</si>
  <si>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</si>
  <si>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</si>
  <si>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</si>
  <si>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</si>
  <si>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</si>
  <si>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</si>
  <si>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</si>
  <si>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</si>
  <si>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</si>
  <si>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</si>
  <si>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</si>
  <si>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</si>
  <si>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</si>
  <si>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</si>
  <si>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</si>
  <si>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</si>
  <si>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</si>
  <si>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</si>
  <si>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</si>
  <si>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</si>
  <si>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</si>
  <si>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</si>
  <si>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</si>
  <si>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</si>
  <si>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</si>
  <si>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</si>
  <si>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</si>
  <si>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</si>
  <si>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</si>
  <si>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</si>
  <si>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</si>
  <si>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</si>
  <si>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</si>
  <si>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</si>
  <si>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</si>
  <si>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</si>
  <si>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</si>
  <si>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</si>
  <si>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</si>
  <si>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</si>
  <si>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</si>
  <si>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</si>
  <si>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</si>
  <si>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</si>
  <si>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</si>
  <si>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</si>
  <si>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</si>
  <si>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</si>
  <si>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</si>
  <si>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</si>
  <si>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</si>
  <si>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</si>
  <si>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</si>
  <si>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</si>
  <si>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</si>
  <si>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</si>
  <si>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</si>
  <si>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</si>
  <si>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</si>
  <si>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</si>
  <si>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</si>
  <si>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</si>
  <si>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</si>
  <si>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</si>
  <si>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</si>
  <si>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</si>
  <si>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</si>
  <si>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</si>
  <si>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</si>
  <si>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</si>
  <si>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</si>
  <si>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</si>
  <si>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</si>
  <si>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</si>
  <si>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</si>
  <si>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</si>
  <si>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</si>
  <si>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</si>
  <si>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</si>
  <si>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</si>
  <si>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</si>
  <si>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</si>
  <si>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</si>
  <si>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</si>
  <si>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</si>
  <si>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</si>
  <si>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</si>
  <si>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</si>
  <si>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</si>
  <si>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</si>
  <si>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</si>
  <si>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</si>
  <si>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</si>
  <si>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</si>
  <si>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</si>
  <si>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</si>
  <si>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</si>
  <si>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</si>
  <si>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</si>
  <si>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</si>
  <si>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</si>
  <si>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</si>
  <si>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</si>
  <si>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</si>
  <si>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</si>
  <si>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</si>
  <si>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</si>
  <si>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</si>
  <si>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</si>
  <si>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</si>
  <si>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</si>
  <si>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</si>
  <si>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</si>
  <si>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</si>
  <si>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</si>
  <si>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</si>
  <si>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</si>
  <si>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</si>
  <si>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</si>
  <si>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</si>
  <si>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</si>
  <si>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</si>
  <si>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</si>
  <si>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</si>
  <si>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</si>
  <si>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</si>
  <si>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</si>
  <si>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</si>
  <si>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</si>
  <si>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</si>
  <si>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</si>
  <si>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</si>
  <si>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</si>
  <si>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</si>
  <si>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</si>
  <si>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</si>
  <si>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</si>
  <si>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</si>
  <si>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</si>
  <si>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</si>
  <si>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</si>
  <si>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</si>
  <si>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</si>
  <si>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</si>
  <si>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</si>
  <si>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</si>
  <si>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</si>
  <si>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</si>
  <si>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</si>
  <si>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</si>
  <si>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</si>
  <si>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</si>
  <si>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</si>
  <si>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</si>
  <si>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</si>
  <si>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</si>
  <si>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</si>
  <si>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</si>
  <si>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</si>
  <si>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</si>
  <si>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</si>
  <si>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</si>
  <si>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</si>
  <si>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</si>
  <si>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</si>
  <si>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</si>
  <si>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</si>
  <si>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</si>
  <si>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</si>
  <si>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</si>
  <si>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</si>
  <si>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</si>
  <si>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</si>
  <si>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</si>
  <si>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</si>
  <si>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</si>
  <si>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</si>
  <si>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</si>
  <si>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</si>
  <si>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</si>
  <si>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</si>
  <si>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</si>
  <si>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</si>
  <si>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</si>
  <si>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</si>
  <si>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</si>
  <si>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</si>
  <si>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</si>
  <si>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</si>
  <si>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</si>
  <si>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</si>
  <si>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</si>
  <si>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</si>
  <si>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</si>
  <si>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</si>
  <si>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</si>
  <si>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</si>
  <si>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</si>
  <si>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</si>
  <si>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</si>
  <si>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</si>
  <si>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</si>
  <si>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</si>
  <si>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</si>
  <si>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</si>
  <si>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</si>
  <si>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</si>
  <si>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</si>
  <si>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</si>
  <si>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</si>
  <si>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</si>
  <si>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</si>
  <si>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</si>
  <si>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</si>
  <si>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</si>
  <si>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</si>
  <si>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</si>
  <si>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</si>
  <si>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</si>
  <si>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</si>
  <si>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</si>
  <si>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</si>
  <si>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</si>
  <si>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</si>
  <si>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</si>
  <si>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</si>
  <si>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</si>
  <si>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</si>
  <si>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</si>
  <si>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</si>
  <si>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</si>
  <si>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</si>
  <si>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</si>
  <si>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</si>
  <si>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</si>
  <si>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</si>
  <si>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</si>
  <si>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</si>
  <si>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</si>
  <si>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</si>
  <si>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</si>
  <si>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</si>
  <si>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</si>
  <si>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</si>
  <si>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</si>
  <si>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</si>
  <si>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</si>
  <si>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</si>
  <si>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</si>
  <si>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</si>
  <si>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</si>
  <si>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</si>
  <si>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</si>
  <si>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</si>
  <si>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</si>
  <si>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</si>
  <si>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</si>
  <si>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</si>
  <si>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</si>
  <si>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</si>
  <si>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</si>
  <si>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</si>
  <si>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</si>
  <si>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</si>
  <si>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</si>
  <si>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</si>
  <si>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</si>
  <si>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</si>
  <si>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</si>
  <si>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</si>
  <si>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</si>
  <si>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</si>
  <si>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</si>
  <si>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</si>
  <si>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</si>
  <si>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</si>
  <si>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</si>
  <si>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</si>
  <si>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</si>
  <si>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</si>
  <si>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</si>
  <si>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</si>
  <si>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</si>
  <si>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</si>
  <si>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</si>
  <si>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</si>
  <si>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</si>
  <si>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</si>
  <si>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</si>
  <si>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</si>
  <si>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</si>
  <si>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</si>
  <si>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</si>
  <si>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</si>
  <si>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</si>
  <si>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</si>
  <si>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</si>
  <si>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</si>
  <si>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</si>
  <si>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</si>
  <si>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</si>
  <si>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</si>
  <si>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</si>
  <si>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</si>
  <si>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</si>
  <si>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</si>
  <si>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</si>
  <si>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</si>
  <si>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</si>
  <si>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</si>
  <si>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</si>
  <si>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</si>
  <si>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</si>
  <si>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</si>
  <si>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</si>
  <si>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</si>
  <si>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</si>
  <si>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</si>
  <si>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</si>
  <si>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</si>
  <si>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</si>
  <si>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</si>
  <si>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</si>
  <si>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</si>
  <si>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</si>
  <si>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</si>
  <si>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</si>
  <si>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</si>
  <si>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</si>
  <si>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</si>
  <si>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</si>
  <si>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</si>
  <si>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</si>
  <si>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</si>
  <si>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</si>
  <si>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</si>
  <si>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</si>
  <si>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</si>
  <si>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</si>
  <si>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</si>
  <si>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</si>
  <si>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</si>
  <si>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</si>
  <si>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</si>
  <si>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</si>
  <si>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</si>
  <si>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</si>
  <si>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</si>
  <si>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</si>
  <si>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</si>
  <si>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</si>
  <si>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</si>
  <si>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</si>
  <si>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</si>
  <si>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</si>
  <si>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</si>
  <si>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</si>
  <si>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</si>
  <si>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</si>
  <si>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</si>
  <si>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</si>
  <si>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</si>
  <si>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</si>
  <si>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</si>
  <si>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</si>
  <si>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</si>
  <si>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</si>
  <si>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</si>
  <si>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</si>
  <si>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</si>
  <si>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</si>
  <si>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</si>
  <si>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</si>
  <si>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</si>
  <si>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</si>
  <si>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</si>
  <si>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</si>
  <si>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</si>
  <si>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</si>
  <si>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</si>
  <si>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</si>
  <si>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</si>
  <si>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</si>
  <si>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</si>
  <si>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</si>
  <si>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</si>
  <si>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</si>
  <si>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</si>
  <si>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</si>
  <si>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</si>
  <si>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</si>
  <si>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</si>
  <si>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</si>
  <si>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</si>
  <si>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</si>
  <si>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</si>
  <si>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</si>
  <si>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</si>
  <si>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</si>
  <si>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</si>
  <si>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</si>
  <si>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</si>
  <si>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</si>
  <si>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</si>
  <si>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</si>
  <si>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</si>
  <si>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</si>
  <si>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</si>
  <si>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</si>
  <si>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</si>
  <si>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</si>
  <si>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</si>
  <si>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</si>
  <si>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</si>
  <si>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</si>
  <si>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</si>
  <si>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</si>
  <si>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</si>
  <si>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</si>
  <si>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</si>
  <si>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</si>
  <si>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</si>
  <si>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</si>
  <si>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</si>
  <si>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</si>
  <si>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</si>
  <si>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</si>
  <si>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</si>
  <si>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</si>
  <si>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</si>
  <si>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</si>
  <si>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</si>
  <si>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</si>
  <si>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</si>
  <si>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</si>
  <si>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</si>
  <si>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</si>
  <si>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</si>
  <si>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</si>
  <si>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</si>
  <si>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</si>
  <si>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</si>
  <si>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</si>
  <si>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</si>
  <si>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</si>
  <si>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</si>
  <si>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</si>
  <si>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</si>
  <si>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</si>
  <si>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</si>
  <si>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</si>
  <si>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</si>
  <si>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</si>
  <si>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</si>
  <si>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</si>
  <si>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</si>
  <si>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</si>
  <si>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</si>
  <si>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</si>
  <si>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</si>
  <si>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</si>
  <si>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</si>
  <si>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</si>
  <si>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</si>
  <si>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</si>
  <si>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</si>
  <si>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</si>
  <si>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</si>
  <si>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</si>
  <si>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</si>
  <si>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</si>
  <si>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</si>
  <si>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</si>
  <si>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</si>
  <si>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</si>
  <si>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</si>
  <si>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</si>
  <si>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</si>
  <si>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</si>
  <si>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</si>
  <si>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</si>
  <si>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</si>
  <si>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</si>
  <si>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</si>
  <si>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</si>
  <si>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</si>
  <si>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</si>
  <si>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</si>
  <si>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</si>
  <si>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</si>
  <si>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</si>
  <si>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</si>
  <si>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</si>
  <si>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</si>
  <si>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</si>
  <si>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</si>
  <si>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</si>
  <si>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</si>
  <si>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</si>
  <si>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</si>
  <si>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</si>
  <si>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</si>
  <si>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</si>
  <si>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</si>
  <si>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</si>
  <si>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</si>
  <si>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</si>
  <si>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</si>
  <si>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</si>
  <si>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</si>
  <si>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</si>
  <si>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</si>
  <si>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</si>
  <si>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</si>
  <si>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</si>
  <si>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</si>
  <si>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</si>
  <si>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</si>
  <si>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</si>
  <si>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</si>
  <si>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</si>
  <si>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</si>
  <si>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</si>
  <si>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</si>
  <si>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</si>
  <si>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</si>
  <si>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</si>
  <si>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</si>
  <si>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</si>
  <si>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</si>
  <si>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</si>
  <si>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</si>
  <si>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</si>
  <si>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</si>
  <si>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</si>
  <si>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</si>
  <si>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</si>
  <si>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</si>
  <si>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</si>
  <si>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</si>
  <si>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</si>
  <si>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</si>
  <si>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</si>
  <si>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</si>
  <si>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</si>
  <si>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</si>
  <si>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</si>
  <si>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</si>
  <si>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</si>
  <si>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</si>
  <si>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</si>
  <si>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</si>
  <si>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</si>
  <si>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</si>
  <si>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</si>
  <si>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</si>
  <si>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</si>
  <si>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</si>
  <si>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</si>
  <si>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</si>
  <si>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</si>
  <si>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</si>
  <si>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</si>
  <si>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</si>
  <si>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</si>
  <si>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</si>
  <si>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</si>
  <si>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</si>
  <si>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</si>
  <si>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</si>
  <si>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</si>
  <si>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</si>
  <si>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</si>
  <si>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</si>
  <si>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</si>
  <si>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</si>
  <si>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</si>
  <si>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</si>
  <si>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</si>
  <si>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</si>
  <si>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</si>
  <si>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</si>
  <si>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</si>
  <si>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</si>
  <si>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</si>
  <si>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</si>
  <si>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</si>
  <si>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</si>
  <si>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</si>
  <si>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</si>
  <si>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</si>
  <si>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</si>
  <si>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</si>
  <si>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</si>
  <si>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</si>
  <si>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</si>
  <si>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</si>
  <si>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</si>
  <si>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</si>
  <si>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</si>
  <si>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</si>
  <si>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</si>
  <si>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</si>
  <si>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</si>
  <si>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</si>
  <si>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</si>
  <si>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</si>
  <si>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</si>
  <si>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</si>
  <si>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</si>
  <si>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</si>
  <si>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</si>
  <si>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</si>
  <si>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</si>
  <si>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</si>
  <si>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</si>
  <si>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</si>
  <si>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</si>
  <si>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</si>
  <si>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</si>
  <si>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</si>
  <si>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</si>
  <si>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</si>
  <si>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</si>
  <si>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</si>
  <si>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</si>
  <si>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</si>
  <si>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</si>
  <si>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</si>
  <si>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</si>
  <si>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</si>
  <si>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</si>
  <si>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</si>
  <si>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</si>
  <si>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</si>
  <si>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</si>
  <si>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</si>
  <si>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</si>
  <si>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</si>
  <si>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</si>
  <si>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</si>
  <si>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</si>
  <si>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</si>
  <si>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</si>
  <si>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</si>
  <si>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</si>
  <si>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</si>
  <si>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</si>
  <si>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</si>
  <si>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</si>
  <si>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</si>
  <si>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</si>
  <si>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</si>
  <si>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</si>
  <si>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</si>
  <si>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</si>
  <si>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</si>
  <si>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</si>
  <si>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</si>
  <si>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</si>
  <si>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</si>
  <si>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</si>
  <si>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</si>
  <si>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</si>
  <si>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</si>
  <si>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</si>
  <si>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</si>
  <si>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</si>
  <si>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</si>
  <si>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</si>
  <si>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</si>
  <si>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</si>
  <si>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</si>
  <si>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</si>
  <si>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</si>
  <si>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</si>
  <si>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</si>
  <si>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</si>
  <si>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</si>
  <si>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</si>
  <si>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</si>
  <si>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</si>
  <si>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</si>
  <si>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</si>
  <si>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</si>
  <si>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</si>
  <si>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</si>
  <si>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</si>
  <si>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</si>
  <si>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</si>
  <si>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</si>
  <si>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</si>
  <si>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</si>
  <si>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</si>
  <si>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</si>
  <si>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</si>
  <si>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</si>
  <si>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</si>
  <si>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</si>
  <si>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</si>
  <si>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</si>
  <si>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</si>
  <si>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</si>
  <si>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</si>
  <si>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</si>
  <si>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</si>
  <si>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</si>
  <si>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</si>
  <si>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</si>
  <si>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</si>
  <si>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</si>
  <si>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</si>
  <si>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</si>
  <si>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</si>
  <si>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</si>
  <si>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</si>
  <si>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</si>
  <si>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</si>
  <si>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</si>
  <si>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</si>
  <si>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</si>
  <si>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</si>
  <si>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</si>
  <si>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</si>
  <si>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</si>
  <si>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</si>
  <si>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</si>
  <si>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</si>
  <si>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</si>
  <si>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</si>
  <si>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</si>
  <si>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</si>
  <si>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</si>
  <si>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</si>
  <si>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</si>
  <si>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</si>
  <si>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</si>
  <si>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</si>
  <si>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</si>
  <si>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</si>
  <si>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</si>
  <si>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</si>
  <si>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</si>
  <si>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</si>
  <si>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</si>
  <si>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</si>
  <si>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</si>
  <si>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</si>
  <si>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</si>
  <si>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</si>
  <si>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</si>
  <si>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</si>
  <si>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</si>
  <si>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</si>
  <si>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</si>
  <si>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</si>
  <si>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</si>
  <si>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</si>
  <si>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</si>
  <si>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</si>
  <si>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</si>
  <si>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</si>
  <si>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</si>
  <si>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</si>
  <si>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</si>
  <si>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</si>
  <si>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</si>
  <si>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</si>
  <si>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</si>
  <si>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</si>
  <si>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</si>
  <si>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</si>
  <si>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</si>
  <si>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</si>
  <si>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</si>
  <si>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</si>
  <si>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</si>
  <si>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</si>
  <si>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</si>
  <si>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</si>
  <si>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</si>
  <si>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</si>
  <si>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</si>
  <si>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</si>
  <si>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</si>
  <si>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</si>
  <si>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</si>
  <si>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</si>
  <si>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</si>
  <si>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</si>
  <si>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</si>
  <si>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</si>
  <si>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</si>
  <si>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</si>
  <si>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</si>
  <si>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</si>
  <si>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</si>
  <si>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</si>
  <si>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</si>
  <si>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</si>
  <si>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</si>
  <si>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</si>
  <si>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</si>
  <si>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</si>
  <si>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</si>
  <si>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</si>
  <si>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</si>
  <si>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</si>
  <si>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</si>
  <si>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</si>
  <si>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</si>
  <si>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</si>
  <si>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</si>
  <si>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</si>
  <si>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</si>
  <si>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</si>
  <si>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</si>
  <si>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</si>
  <si>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</si>
  <si>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</si>
  <si>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</si>
  <si>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</si>
  <si>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</si>
  <si>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</si>
  <si>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</si>
  <si>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</si>
  <si>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</si>
  <si>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</si>
  <si>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</si>
  <si>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</si>
  <si>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</si>
  <si>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</si>
  <si>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</si>
  <si>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</si>
  <si>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</si>
  <si>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</si>
  <si>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</si>
  <si>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</si>
  <si>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</si>
  <si>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</si>
  <si>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</si>
  <si>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</si>
  <si>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</si>
  <si>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</si>
  <si>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</si>
  <si>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</si>
  <si>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</si>
  <si>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</si>
  <si>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</si>
  <si>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</si>
  <si>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</si>
  <si>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</si>
  <si>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</si>
  <si>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</si>
  <si>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</si>
  <si>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</si>
  <si>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</si>
  <si>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</si>
  <si>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</si>
  <si>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</si>
  <si>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</si>
  <si>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</si>
  <si>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</si>
  <si>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</si>
  <si>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</si>
  <si>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</si>
  <si>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</si>
  <si>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</si>
  <si>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</si>
  <si>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</si>
  <si>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</si>
  <si>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</si>
  <si>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</si>
  <si>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</si>
  <si>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</si>
  <si>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</si>
  <si>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</si>
  <si>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</si>
  <si>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</si>
  <si>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</si>
  <si>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</si>
  <si>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</si>
  <si>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</si>
  <si>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</si>
  <si>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</si>
  <si>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</si>
  <si>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</si>
  <si>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</si>
  <si>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</si>
  <si>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</si>
  <si>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</si>
  <si>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</si>
  <si>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</si>
  <si>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</si>
  <si>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</si>
  <si>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</si>
  <si>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</si>
  <si>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</si>
  <si>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</si>
  <si>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</si>
  <si>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</si>
  <si>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</si>
  <si>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</si>
  <si>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</si>
  <si>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</si>
  <si>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</si>
  <si>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</si>
  <si>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</si>
  <si>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</si>
  <si>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</si>
  <si>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</si>
  <si>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</si>
  <si>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</si>
  <si>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</si>
  <si>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</si>
  <si>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</si>
  <si>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</si>
  <si>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</si>
  <si>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</si>
  <si>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</si>
  <si>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</si>
  <si>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</si>
  <si>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</si>
  <si>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</si>
  <si>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</si>
  <si>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</si>
  <si>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</si>
  <si>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</si>
  <si>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</si>
  <si>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</si>
  <si>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</si>
  <si>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</si>
  <si>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</si>
  <si>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</si>
  <si>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</si>
  <si>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</si>
  <si>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</si>
  <si>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</si>
  <si>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</si>
  <si>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</si>
  <si>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</si>
  <si>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</si>
  <si>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</si>
  <si>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</si>
  <si>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</si>
  <si>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</si>
  <si>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</si>
  <si>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</si>
  <si>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</si>
  <si>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</si>
  <si>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</si>
  <si>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</si>
  <si>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</si>
  <si>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</si>
  <si>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</si>
  <si>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</si>
  <si>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</si>
  <si>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</si>
  <si>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</si>
  <si>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</si>
  <si>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</si>
  <si>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</si>
  <si>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</si>
  <si>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</si>
  <si>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</si>
  <si>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</si>
  <si>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</si>
  <si>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</si>
  <si>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</si>
  <si>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</si>
  <si>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</si>
  <si>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</si>
  <si>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</si>
  <si>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</si>
  <si>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</si>
  <si>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</si>
  <si>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</si>
  <si>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</si>
  <si>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</si>
  <si>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</si>
  <si>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</si>
  <si>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</si>
  <si>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</si>
  <si>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</si>
  <si>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</si>
  <si>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</si>
  <si>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</si>
  <si>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</si>
  <si>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</si>
  <si>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</si>
  <si>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</si>
  <si>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</si>
  <si>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</si>
  <si>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</si>
  <si>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</si>
  <si>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</si>
  <si>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</si>
  <si>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</si>
  <si>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</si>
  <si>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</si>
  <si>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</si>
  <si>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</si>
  <si>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</si>
  <si>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</si>
  <si>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</si>
  <si>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</si>
  <si>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</si>
  <si>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</si>
  <si>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</si>
  <si>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</si>
  <si>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</si>
  <si>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</si>
  <si>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</si>
  <si>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</si>
  <si>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</si>
  <si>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</si>
  <si>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</si>
  <si>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</si>
  <si>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</si>
  <si>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</si>
  <si>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</si>
  <si>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</si>
  <si>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</si>
  <si>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</si>
  <si>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</si>
  <si>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</si>
  <si>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</si>
  <si>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</si>
  <si>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</si>
  <si>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</si>
  <si>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</si>
  <si>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</si>
  <si>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</si>
  <si>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</si>
  <si>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</si>
  <si>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</si>
  <si>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</si>
  <si>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</si>
  <si>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</si>
  <si>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</si>
  <si>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</si>
  <si>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</si>
  <si>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</si>
  <si>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</si>
  <si>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</si>
  <si>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</si>
  <si>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</si>
  <si>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</si>
  <si>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</si>
  <si>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</si>
  <si>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</si>
  <si>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</si>
  <si>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</si>
  <si>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</si>
  <si>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</si>
  <si>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</si>
  <si>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</si>
  <si>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</si>
  <si>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</si>
  <si>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</si>
  <si>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</si>
  <si>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</si>
  <si>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</si>
  <si>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</si>
  <si>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</si>
  <si>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</si>
  <si>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</si>
  <si>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</si>
  <si>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</si>
  <si>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</si>
  <si>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</si>
  <si>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</si>
  <si>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</si>
  <si>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</si>
  <si>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</si>
  <si>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</si>
  <si>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</si>
  <si>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</si>
  <si>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</si>
  <si>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</si>
  <si>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</si>
  <si>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</si>
  <si>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</si>
  <si>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</si>
  <si>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</si>
  <si>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</si>
  <si>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</si>
  <si>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</si>
  <si>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</si>
  <si>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</si>
  <si>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</si>
  <si>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</si>
  <si>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</si>
  <si>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</si>
  <si>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</si>
  <si>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</si>
  <si>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</si>
  <si>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</si>
  <si>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</si>
  <si>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</si>
  <si>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</si>
  <si>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</si>
  <si>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</si>
  <si>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</si>
  <si>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</si>
  <si>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</si>
  <si>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</si>
  <si>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</si>
  <si>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</si>
  <si>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</si>
  <si>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</si>
  <si>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</si>
  <si>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</si>
  <si>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</si>
  <si>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</si>
  <si>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</si>
  <si>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</si>
  <si>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</si>
  <si>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</si>
  <si>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</si>
  <si>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</si>
  <si>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</si>
  <si>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</si>
  <si>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</si>
  <si>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</si>
  <si>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</si>
  <si>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</si>
  <si>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</si>
  <si>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</si>
  <si>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</si>
  <si>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</si>
  <si>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</si>
  <si>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</si>
  <si>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</si>
  <si>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</si>
  <si>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</si>
  <si>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</si>
  <si>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</si>
  <si>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</si>
  <si>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</si>
  <si>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</si>
  <si>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</si>
  <si>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</si>
  <si>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</si>
  <si>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</si>
  <si>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</si>
  <si>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</si>
  <si>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</si>
  <si>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</si>
  <si>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</si>
  <si>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</si>
  <si>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</si>
  <si>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</si>
  <si>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</si>
  <si>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</si>
  <si>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</si>
  <si>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</si>
  <si>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</si>
  <si>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</si>
  <si>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</si>
  <si>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</si>
  <si>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</si>
  <si>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</si>
  <si>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</si>
  <si>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</si>
  <si>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</si>
  <si>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</si>
  <si>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</si>
  <si>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</si>
  <si>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</si>
  <si>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</si>
  <si>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</si>
  <si>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</si>
  <si>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</si>
  <si>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</si>
  <si>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</si>
  <si>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</si>
  <si>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</si>
  <si>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</si>
  <si>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</si>
  <si>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</si>
  <si>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</si>
  <si>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</si>
  <si>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</si>
  <si>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</si>
  <si>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</si>
  <si>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</si>
  <si>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</si>
  <si>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</si>
  <si>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</si>
  <si>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</si>
  <si>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</si>
  <si>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</si>
  <si>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</si>
  <si>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</si>
  <si>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</si>
  <si>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</si>
  <si>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</si>
  <si>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</si>
  <si>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</si>
  <si>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</si>
  <si>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</si>
  <si>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</si>
  <si>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</si>
  <si>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</si>
  <si>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</si>
  <si>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</si>
  <si>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</si>
  <si>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</si>
  <si>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</si>
  <si>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</si>
  <si>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</si>
  <si>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</si>
  <si>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</si>
  <si>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</si>
  <si>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</si>
  <si>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</si>
  <si>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</si>
  <si>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</si>
  <si>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</si>
  <si>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</si>
  <si>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</si>
  <si>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</si>
  <si>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</si>
  <si>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</si>
  <si>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</si>
  <si>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</si>
  <si>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</si>
  <si>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</si>
  <si>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</si>
  <si>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</si>
  <si>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</si>
  <si>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</si>
  <si>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</si>
  <si>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</si>
  <si>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</si>
  <si>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</si>
  <si>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</si>
  <si>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</si>
  <si>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</si>
  <si>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</si>
  <si>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</si>
  <si>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</si>
  <si>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</si>
  <si>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</si>
  <si>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</si>
  <si>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</si>
  <si>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</si>
  <si>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</si>
  <si>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</si>
  <si>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</si>
  <si>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</si>
  <si>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</si>
  <si>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</si>
  <si>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</si>
  <si>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</si>
  <si>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</si>
  <si>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</si>
  <si>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</si>
  <si>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</si>
  <si>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</si>
  <si>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</si>
  <si>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</si>
  <si>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</si>
  <si>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</si>
  <si>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</si>
  <si>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</si>
  <si>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</si>
  <si>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</si>
  <si>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</si>
  <si>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</si>
  <si>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</si>
  <si>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</si>
  <si>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</si>
  <si>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</si>
  <si>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</si>
  <si>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</si>
  <si>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</si>
  <si>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</si>
  <si>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</si>
  <si>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</si>
  <si>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</si>
  <si>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</si>
  <si>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</si>
  <si>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</si>
  <si>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</si>
  <si>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</si>
  <si>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</si>
  <si>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</si>
  <si>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</si>
  <si>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</si>
  <si>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</si>
  <si>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</si>
  <si>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</si>
  <si>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</si>
  <si>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</si>
  <si>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</si>
  <si>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</si>
  <si>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</si>
  <si>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</si>
  <si>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</si>
  <si>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</si>
  <si>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</si>
  <si>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</si>
  <si>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</si>
  <si>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</si>
  <si>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</si>
  <si>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</si>
  <si>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</si>
  <si>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</si>
  <si>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</si>
  <si>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</si>
  <si>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</si>
  <si>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</si>
  <si>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</si>
  <si>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</si>
  <si>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</si>
  <si>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</si>
  <si>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</si>
  <si>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</si>
  <si>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</si>
  <si>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</si>
  <si>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</si>
  <si>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</si>
  <si>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</si>
  <si>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</si>
  <si>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</si>
  <si>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</si>
  <si>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</si>
  <si>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</si>
  <si>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</si>
  <si>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</si>
  <si>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</si>
  <si>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</si>
  <si>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</si>
  <si>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</si>
  <si>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</si>
  <si>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</si>
  <si>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</si>
  <si>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</si>
  <si>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</si>
  <si>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</si>
  <si>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</si>
  <si>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</si>
  <si>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</si>
  <si>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</si>
  <si>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</si>
  <si>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</si>
  <si>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</si>
  <si>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</si>
  <si>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</si>
  <si>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</si>
  <si>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</si>
  <si>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</si>
  <si>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</si>
  <si>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</si>
  <si>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</si>
  <si>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</si>
  <si>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</si>
  <si>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</si>
  <si>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</si>
  <si>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</si>
  <si>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</si>
  <si>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</si>
  <si>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</si>
  <si>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</si>
  <si>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</si>
  <si>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</si>
  <si>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</si>
  <si>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</si>
  <si>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</si>
  <si>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</si>
  <si>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</si>
  <si>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</si>
  <si>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</si>
  <si>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</si>
  <si>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</si>
  <si>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</si>
  <si>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</si>
  <si>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</si>
  <si>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</si>
  <si>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</si>
  <si>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</si>
  <si>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</si>
  <si>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</si>
  <si>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</si>
  <si>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</si>
  <si>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</si>
  <si>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</si>
  <si>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</si>
  <si>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</si>
  <si>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</si>
  <si>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</si>
  <si>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</si>
  <si>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</si>
  <si>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</si>
  <si>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</si>
  <si>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</si>
  <si>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</si>
  <si>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</si>
  <si>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</si>
  <si>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</si>
  <si>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</si>
  <si>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</si>
  <si>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</si>
  <si>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</si>
  <si>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</si>
  <si>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</si>
  <si>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</si>
  <si>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</si>
  <si>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</si>
  <si>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</si>
  <si>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</si>
  <si>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</si>
  <si>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</si>
  <si>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</si>
  <si>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</si>
  <si>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</si>
  <si>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</si>
  <si>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</si>
  <si>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</si>
  <si>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</si>
  <si>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</si>
  <si>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</si>
  <si>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</si>
  <si>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</si>
  <si>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</si>
  <si>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</si>
  <si>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</si>
  <si>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</si>
  <si>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</si>
  <si>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</si>
  <si>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</si>
  <si>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</si>
  <si>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</si>
  <si>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</si>
  <si>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</si>
  <si>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</si>
  <si>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</si>
  <si>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</si>
  <si>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</si>
  <si>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</si>
  <si>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</si>
  <si>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</si>
  <si>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</si>
  <si>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</si>
  <si>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</si>
  <si>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</si>
  <si>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</si>
  <si>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</si>
  <si>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</si>
  <si>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</si>
  <si>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</si>
  <si>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</si>
  <si>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</si>
  <si>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</si>
  <si>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</si>
  <si>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</si>
  <si>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</si>
  <si>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</si>
  <si>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</si>
  <si>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</si>
  <si>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</si>
  <si>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</si>
  <si>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</si>
  <si>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</si>
  <si>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</si>
  <si>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</si>
  <si>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</si>
  <si>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</si>
  <si>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</si>
  <si>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</si>
  <si>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</si>
  <si>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</si>
  <si>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</si>
  <si>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</si>
  <si>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</si>
  <si>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</si>
  <si>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</si>
  <si>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</si>
  <si>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</si>
  <si>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</si>
  <si>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</si>
  <si>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</si>
  <si>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</si>
  <si>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</si>
  <si>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</si>
  <si>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</si>
  <si>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</si>
  <si>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</si>
  <si>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</si>
  <si>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</si>
  <si>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</si>
  <si>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</si>
  <si>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</si>
  <si>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</si>
  <si>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</si>
  <si>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</si>
  <si>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</si>
  <si>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</si>
  <si>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</si>
  <si>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</si>
  <si>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</si>
  <si>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</si>
  <si>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</si>
  <si>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</si>
  <si>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</si>
  <si>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</si>
  <si>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</si>
  <si>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</si>
  <si>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</si>
  <si>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</si>
  <si>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</si>
  <si>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</si>
  <si>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</si>
  <si>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</si>
  <si>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</si>
  <si>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</si>
  <si>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</si>
  <si>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</si>
  <si>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</si>
  <si>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</si>
  <si>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</si>
  <si>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</si>
  <si>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</si>
  <si>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</si>
  <si>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</si>
  <si>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</si>
  <si>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</si>
  <si>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</si>
  <si>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</si>
  <si>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</si>
  <si>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</si>
  <si>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</si>
  <si>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</si>
  <si>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</si>
  <si>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</si>
  <si>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</si>
  <si>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</si>
  <si>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</si>
  <si>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</si>
  <si>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</si>
  <si>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</si>
  <si>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</si>
  <si>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</si>
  <si>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</si>
  <si>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</si>
  <si>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</si>
  <si>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</si>
  <si>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</si>
  <si>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</si>
  <si>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</si>
  <si>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</si>
  <si>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</si>
  <si>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</si>
  <si>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</si>
  <si>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</si>
  <si>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</si>
  <si>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</si>
  <si>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</si>
  <si>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</si>
  <si>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</si>
  <si>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</si>
  <si>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</si>
  <si>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</si>
  <si>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</si>
  <si>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</si>
  <si>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</si>
  <si>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</si>
  <si>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</si>
  <si>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</si>
  <si>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</si>
  <si>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</si>
  <si>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</si>
  <si>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</si>
  <si>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</si>
  <si>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</si>
  <si>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</si>
  <si>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</si>
  <si>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</si>
  <si>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</si>
  <si>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</si>
  <si>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</si>
  <si>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</si>
  <si>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</si>
  <si>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</si>
  <si>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</si>
  <si>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</si>
  <si>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</si>
  <si>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</si>
  <si>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</si>
  <si>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</si>
  <si>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</si>
  <si>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</si>
  <si>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</si>
  <si>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</si>
  <si>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</si>
  <si>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</si>
  <si>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</si>
  <si>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</si>
  <si>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</si>
  <si>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</si>
  <si>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</si>
  <si>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</si>
  <si>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</si>
  <si>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</si>
  <si>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</si>
  <si>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</si>
  <si>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</si>
  <si>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</si>
  <si>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</si>
  <si>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</si>
  <si>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</si>
  <si>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</si>
  <si>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</si>
  <si>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</si>
  <si>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</si>
  <si>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</si>
  <si>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</si>
  <si>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</si>
  <si>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</si>
  <si>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</si>
  <si>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</si>
  <si>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</si>
  <si>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</si>
  <si>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</si>
  <si>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</si>
  <si>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</si>
  <si>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</si>
  <si>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</si>
  <si>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</si>
  <si>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</si>
  <si>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</si>
  <si>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</si>
  <si>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</si>
  <si>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</si>
  <si>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</si>
  <si>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</si>
  <si>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</si>
  <si>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</si>
  <si>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</si>
  <si>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</si>
  <si>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</si>
  <si>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</si>
  <si>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</si>
  <si>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</si>
  <si>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</si>
  <si>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</si>
  <si>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</si>
  <si>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</si>
  <si>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</si>
  <si>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</si>
  <si>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</si>
  <si>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</si>
  <si>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</si>
  <si>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</si>
  <si>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</si>
  <si>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</si>
  <si>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</si>
  <si>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</si>
  <si>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</si>
  <si>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</si>
  <si>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</si>
  <si>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</si>
  <si>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</si>
  <si>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</si>
  <si>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</si>
  <si>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</si>
  <si>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</si>
  <si>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</si>
  <si>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</si>
  <si>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</si>
  <si>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</si>
  <si>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</si>
  <si>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</si>
  <si>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</si>
  <si>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</si>
  <si>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</si>
  <si>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</si>
  <si>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</si>
  <si>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</si>
  <si>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</si>
  <si>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</si>
  <si>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</si>
  <si>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</si>
  <si>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</si>
  <si>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</si>
  <si>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</si>
  <si>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</si>
  <si>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</si>
  <si>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</si>
  <si>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</si>
  <si>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</si>
  <si>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</si>
  <si>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</si>
  <si>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</si>
  <si>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</si>
  <si>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</si>
  <si>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</si>
  <si>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</si>
  <si>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</si>
  <si>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</si>
  <si>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</si>
  <si>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</si>
  <si>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</si>
  <si>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</si>
  <si>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</si>
  <si>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</si>
  <si>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</si>
  <si>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</si>
  <si>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</si>
  <si>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</si>
  <si>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</si>
  <si>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</si>
  <si>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</si>
  <si>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</si>
  <si>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</si>
  <si>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</si>
  <si>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</si>
  <si>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</si>
  <si>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</si>
  <si>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</si>
  <si>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</si>
  <si>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</si>
  <si>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</si>
  <si>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</si>
  <si>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</si>
  <si>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</si>
  <si>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</si>
  <si>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</si>
  <si>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</si>
  <si>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</si>
  <si>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</si>
  <si>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</si>
  <si>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</si>
  <si>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</si>
  <si>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</si>
  <si>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</si>
  <si>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</si>
  <si>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</si>
  <si>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</si>
  <si>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</si>
  <si>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</si>
  <si>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</si>
  <si>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</si>
  <si>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</si>
  <si>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</si>
  <si>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</si>
  <si>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</si>
  <si>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</si>
  <si>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</si>
  <si>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</si>
  <si>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</si>
  <si>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</si>
  <si>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</si>
  <si>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</si>
  <si>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</si>
  <si>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</si>
  <si>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</si>
  <si>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</si>
  <si>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</si>
  <si>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</si>
  <si>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</si>
  <si>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</si>
  <si>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</si>
  <si>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</si>
  <si>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</si>
  <si>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</si>
  <si>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</si>
  <si>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</si>
  <si>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</si>
  <si>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</si>
  <si>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</si>
  <si>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</si>
  <si>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</si>
  <si>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</si>
  <si>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</si>
  <si>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</si>
  <si>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</si>
  <si>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</si>
  <si>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</si>
  <si>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</si>
  <si>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</si>
  <si>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</si>
  <si>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</si>
  <si>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</si>
  <si>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</si>
  <si>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</si>
  <si>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</si>
  <si>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</si>
  <si>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</si>
  <si>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</si>
  <si>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</si>
  <si>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</si>
  <si>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</si>
  <si>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</si>
  <si>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</si>
  <si>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</si>
  <si>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</si>
  <si>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</si>
  <si>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</si>
  <si>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</si>
  <si>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</si>
  <si>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</si>
  <si>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</si>
  <si>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</si>
  <si>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</si>
  <si>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</si>
  <si>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</si>
  <si>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</si>
  <si>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</si>
  <si>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</si>
  <si>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</si>
  <si>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</si>
  <si>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</si>
  <si>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</si>
  <si>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</si>
  <si>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</si>
  <si>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</si>
  <si>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</si>
  <si>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</si>
  <si>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</si>
  <si>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</si>
  <si>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</si>
  <si>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</si>
  <si>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</si>
  <si>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</si>
  <si>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</si>
  <si>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</si>
  <si>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</si>
  <si>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</si>
  <si>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</si>
  <si>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</si>
  <si>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</si>
  <si>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</si>
  <si>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</si>
  <si>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</si>
  <si>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</si>
  <si>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</si>
  <si>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</si>
  <si>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</si>
  <si>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</si>
  <si>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</si>
  <si>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</si>
  <si>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</si>
  <si>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</si>
  <si>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</si>
  <si>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</si>
  <si>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</si>
  <si>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</si>
  <si>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</si>
  <si>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</si>
  <si>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</si>
  <si>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</si>
  <si>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</si>
  <si>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</si>
  <si>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</si>
  <si>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</si>
  <si>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</si>
  <si>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</si>
  <si>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</si>
  <si>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</si>
  <si>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</si>
  <si>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</si>
  <si>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</si>
  <si>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</si>
  <si>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</si>
  <si>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</si>
  <si>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</si>
  <si>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</si>
  <si>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</si>
  <si>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DE AGUA POTABLE DRENAJE ALCANTARILLADO Y SANEAMIENTO DEL MUNICIPIO DE IRAPUATO GTO</t>
  </si>
  <si>
    <t>Al 31 de diciembre de 2019 y al 31 de diciembre de 2020 (b)</t>
  </si>
  <si>
    <t>Del 1 de enero al 31 de diciembre de 2020 (b)</t>
  </si>
  <si>
    <t>CONSEJO DIRECTIVO</t>
  </si>
  <si>
    <t>CONTRALORIA INTERNA</t>
  </si>
  <si>
    <t>CONTABILIDAD</t>
  </si>
  <si>
    <t>TESORERIA</t>
  </si>
  <si>
    <t>FINANZAS Y CAJAS</t>
  </si>
  <si>
    <t>PRESUPUESTOS</t>
  </si>
  <si>
    <t>COORDINACION JURIDICA</t>
  </si>
  <si>
    <t>COORDINACION DE COMUNICACION SOCIAL</t>
  </si>
  <si>
    <t>DIRECCION GENERAL</t>
  </si>
  <si>
    <t>COORDINACION  DE DESARROLLO INSTITUCIONAL</t>
  </si>
  <si>
    <t>GERENCIA ADMINISTRATIVA</t>
  </si>
  <si>
    <t>ADQUISICIONES Y ALMACEN</t>
  </si>
  <si>
    <t>CONTROL PATRIMONIAL</t>
  </si>
  <si>
    <t>MANTENIMIENTO Y SERVICIOS GENERALES</t>
  </si>
  <si>
    <t>TECNOLOGIAS DE INFORMACION Y COMUNICACION</t>
  </si>
  <si>
    <t>RECURSOS HUMANOS</t>
  </si>
  <si>
    <t>MANTENIMIENTO DEL PARQUE VEHICULAR</t>
  </si>
  <si>
    <t>GERENCIA DE COMERCIALIZACION</t>
  </si>
  <si>
    <t>CREDITO Y COBRANZA</t>
  </si>
  <si>
    <t>ATENCION A USUARIOS</t>
  </si>
  <si>
    <t>PADRON DE USUARIOS</t>
  </si>
  <si>
    <t>FACTURACION</t>
  </si>
  <si>
    <t>MEDICION</t>
  </si>
  <si>
    <t>CORTES Y RECONEXIONES</t>
  </si>
  <si>
    <t>GERENCIA DE OPERACION Y MANTENIMIENTO</t>
  </si>
  <si>
    <t>AGUA POTABLE</t>
  </si>
  <si>
    <t>DISTRITO 1</t>
  </si>
  <si>
    <t>DISTRITO 2</t>
  </si>
  <si>
    <t>REPARACION DE PAVIMENTOS</t>
  </si>
  <si>
    <t>OPERACION DE PIPAS</t>
  </si>
  <si>
    <t>MANTENIMIENTO DE DRENAJE</t>
  </si>
  <si>
    <t>OPTIMIZACION DE AGUA</t>
  </si>
  <si>
    <t>OPERACION Y MTTO  DE POZOS</t>
  </si>
  <si>
    <t>OPERACION Y MANTENIMIENTO DE CARCAMOS</t>
  </si>
  <si>
    <t>DRENAJE Y ALCANTARILLADO</t>
  </si>
  <si>
    <t>MEDICION OPERACION Y MTTO DE REDES</t>
  </si>
  <si>
    <t>OPERACIÓN DE REDES DE DISTRIBUCION</t>
  </si>
  <si>
    <t>GERENCIA DE INGENIERIA Y DISEÑO</t>
  </si>
  <si>
    <t>AREA DE PROYECTOS</t>
  </si>
  <si>
    <t>ADMINISTRACION DE OBRAS</t>
  </si>
  <si>
    <t>GERENCIA PTAR</t>
  </si>
  <si>
    <t>LABORATORIO Y DESCARGAS INDUSTRIALES PTAR</t>
  </si>
  <si>
    <t>OPERACIÓN DE LA PTAR</t>
  </si>
  <si>
    <t>MANTENIMIENTO ELECTROMECANICO PTAR</t>
  </si>
  <si>
    <t>OPERACION DE PLANTAS POTABILIZADORAS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</si>
</sst>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_0* #,##0.00;\-* #,##0.00_0;* &quot;0.00&quot;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/>
  </cellStyleXfs>
  <cellXfs count="1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3" fontId="18" fillId="0" borderId="0" xfId="41" applyFont="1" applyFill="1" applyBorder="1" applyProtection="1"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" fontId="19" fillId="0" borderId="0" xfId="42" applyNumberFormat="1" applyFont="1" applyFill="1" applyBorder="1" applyAlignment="1" applyProtection="1">
      <alignment vertical="top"/>
      <protection locked="0"/>
    </xf>
    <xf numFmtId="4" fontId="20" fillId="0" borderId="8" xfId="42" applyNumberFormat="1" applyFont="1" applyFill="1" applyBorder="1" applyAlignment="1" applyProtection="1">
      <alignment vertical="top"/>
      <protection locked="0"/>
    </xf>
    <xf numFmtId="165" fontId="21" fillId="5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Millares" xfId="41" builtinId="3"/>
    <cellStyle name="Millares 2" xfId="4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4</xdr:row>
      <xdr:rowOff>25400</xdr:rowOff>
    </xdr:from>
    <xdr:to>
      <xdr:col>3</xdr:col>
      <xdr:colOff>241300</xdr:colOff>
      <xdr:row>4</xdr:row>
      <xdr:rowOff>317500</xdr:rowOff>
    </xdr:to>
    <xdr:sp macro="" textlink="">
      <xdr:nvSpPr>
        <xdr:cNvPr id="1026" name="ComboBox1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6</xdr:row>
      <xdr:rowOff>38100</xdr:rowOff>
    </xdr:from>
    <xdr:to>
      <xdr:col>3</xdr:col>
      <xdr:colOff>241300</xdr:colOff>
      <xdr:row>6</xdr:row>
      <xdr:rowOff>330200</xdr:rowOff>
    </xdr:to>
    <xdr:sp macro="" textlink="">
      <xdr:nvSpPr>
        <xdr:cNvPr id="1028" name="ComboBox2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10</xdr:row>
      <xdr:rowOff>25400</xdr:rowOff>
    </xdr:from>
    <xdr:to>
      <xdr:col>3</xdr:col>
      <xdr:colOff>241300</xdr:colOff>
      <xdr:row>10</xdr:row>
      <xdr:rowOff>317500</xdr:rowOff>
    </xdr:to>
    <xdr:sp macro="" textlink="">
      <xdr:nvSpPr>
        <xdr:cNvPr id="1030" name="ComboBox3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8</xdr:row>
      <xdr:rowOff>25400</xdr:rowOff>
    </xdr:from>
    <xdr:to>
      <xdr:col>3</xdr:col>
      <xdr:colOff>241300</xdr:colOff>
      <xdr:row>8</xdr:row>
      <xdr:rowOff>317500</xdr:rowOff>
    </xdr:to>
    <xdr:sp macro="" textlink="">
      <xdr:nvSpPr>
        <xdr:cNvPr id="1031" name="ComboBox4" hidden="1">
          <a:extLst>
            <a:ext uri="{63B3BB69-23CF-44E3-9099-C40C66FF867C}">
              <a14:compatExt xmlns:a14="http://schemas.microsoft.com/office/drawing/2010/main" spid="_x0000_s10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4</xdr:row>
      <xdr:rowOff>25400</xdr:rowOff>
    </xdr:from>
    <xdr:to>
      <xdr:col>3</xdr:col>
      <xdr:colOff>241300</xdr:colOff>
      <xdr:row>4</xdr:row>
      <xdr:rowOff>317500</xdr:rowOff>
    </xdr:to>
    <xdr:pic>
      <xdr:nvPicPr>
        <xdr:cNvPr id="2" name="Combo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1168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25400</xdr:colOff>
      <xdr:row>6</xdr:row>
      <xdr:rowOff>38100</xdr:rowOff>
    </xdr:from>
    <xdr:to>
      <xdr:col>3</xdr:col>
      <xdr:colOff>241300</xdr:colOff>
      <xdr:row>6</xdr:row>
      <xdr:rowOff>330200</xdr:rowOff>
    </xdr:to>
    <xdr:pic>
      <xdr:nvPicPr>
        <xdr:cNvPr id="3" name="ComboBox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1689100"/>
          <a:ext cx="3670300" cy="2921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2</xdr:col>
      <xdr:colOff>25400</xdr:colOff>
      <xdr:row>10</xdr:row>
      <xdr:rowOff>25400</xdr:rowOff>
    </xdr:from>
    <xdr:to>
      <xdr:col>3</xdr:col>
      <xdr:colOff>241300</xdr:colOff>
      <xdr:row>10</xdr:row>
      <xdr:rowOff>317500</xdr:rowOff>
    </xdr:to>
    <xdr:pic>
      <xdr:nvPicPr>
        <xdr:cNvPr id="4" name="ComboBox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2692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25400</xdr:colOff>
      <xdr:row>8</xdr:row>
      <xdr:rowOff>25400</xdr:rowOff>
    </xdr:from>
    <xdr:to>
      <xdr:col>3</xdr:col>
      <xdr:colOff>241300</xdr:colOff>
      <xdr:row>8</xdr:row>
      <xdr:rowOff>317500</xdr:rowOff>
    </xdr:to>
    <xdr:pic>
      <xdr:nvPicPr>
        <xdr:cNvPr id="5" name="ComboBox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2184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49" t="s">
        <v>821</v>
      </c>
      <c r="B1" s="150"/>
      <c r="C1" s="150"/>
      <c r="D1" s="150"/>
      <c r="E1" s="151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784</v>
      </c>
      <c r="C3" s="152" t="s">
        <v>3294</v>
      </c>
      <c r="D3" s="152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787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788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785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pageSetUpPr fitToPage="1"/>
  </sheetPr>
  <dimension ref="A1:K75"/>
  <sheetViews>
    <sheetView showGridLines="0" zoomScale="90" zoomScaleNormal="90" zoomScalePageLayoutView="90" workbookViewId="0">
      <selection activeCell="C9" sqref="C9:C1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65" t="s">
        <v>534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x14ac:dyDescent="0.25">
      <c r="A2" s="153" t="str">
        <f>ENTE_PUBLICO_A</f>
        <v>JUNTA DE AGUA POTABLE DRENAJE ALCANTARILLADO Y SANEAMIENTO DEL MUNICIPIO DE IRAPUATO GTO, Gobierno del Estado de Guanajuato (a)</v>
      </c>
      <c r="B2" s="154"/>
      <c r="C2" s="154"/>
      <c r="D2" s="155"/>
    </row>
    <row r="3" spans="1:11" x14ac:dyDescent="0.25">
      <c r="A3" s="156" t="s">
        <v>166</v>
      </c>
      <c r="B3" s="157"/>
      <c r="C3" s="157"/>
      <c r="D3" s="158"/>
    </row>
    <row r="4" spans="1:11" x14ac:dyDescent="0.25">
      <c r="A4" s="159" t="str">
        <f>TRIMESTRE</f>
        <v>Del 1 de enero al 31 de diciembre de 2020 (b)</v>
      </c>
      <c r="B4" s="160"/>
      <c r="C4" s="160"/>
      <c r="D4" s="161"/>
    </row>
    <row r="5" spans="1:11" x14ac:dyDescent="0.25">
      <c r="A5" s="162" t="s">
        <v>118</v>
      </c>
      <c r="B5" s="163"/>
      <c r="C5" s="163"/>
      <c r="D5" s="164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820567681.25</v>
      </c>
      <c r="C8" s="40">
        <f t="shared" ref="C8:D8" si="0">SUM(C9:C11)</f>
        <v>973666132.02999997</v>
      </c>
      <c r="D8" s="40">
        <f t="shared" si="0"/>
        <v>973666132.02999997</v>
      </c>
    </row>
    <row r="9" spans="1:11" x14ac:dyDescent="0.25">
      <c r="A9" s="53" t="s">
        <v>169</v>
      </c>
      <c r="B9" s="23">
        <v>647969616.40999997</v>
      </c>
      <c r="C9" s="23">
        <v>846246170.80999994</v>
      </c>
      <c r="D9" s="23">
        <v>846246170.80999994</v>
      </c>
    </row>
    <row r="10" spans="1:11" x14ac:dyDescent="0.25">
      <c r="A10" s="53" t="s">
        <v>170</v>
      </c>
      <c r="B10" s="23">
        <v>172598064.84</v>
      </c>
      <c r="C10" s="23">
        <v>127419961.22</v>
      </c>
      <c r="D10" s="23">
        <v>127419961.22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820567681.25407326</v>
      </c>
      <c r="C13" s="40">
        <f t="shared" ref="C13:D13" si="2">C14+C15</f>
        <v>662783899.90799999</v>
      </c>
      <c r="D13" s="40">
        <f t="shared" si="2"/>
        <v>662783899.90799999</v>
      </c>
    </row>
    <row r="14" spans="1:11" x14ac:dyDescent="0.25">
      <c r="A14" s="53" t="s">
        <v>172</v>
      </c>
      <c r="B14" s="23">
        <v>647969616.45407331</v>
      </c>
      <c r="C14" s="23">
        <v>565404283.40799999</v>
      </c>
      <c r="D14" s="23">
        <v>565404283.40799999</v>
      </c>
    </row>
    <row r="15" spans="1:11" x14ac:dyDescent="0.25">
      <c r="A15" s="53" t="s">
        <v>173</v>
      </c>
      <c r="B15" s="23">
        <v>172598064.79999998</v>
      </c>
      <c r="C15" s="23">
        <v>97379616.5</v>
      </c>
      <c r="D15" s="23">
        <v>97379616.5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-4.0732622146606445E-3</v>
      </c>
      <c r="C21" s="40">
        <f t="shared" ref="C21:D21" si="4">C8-C13+C17</f>
        <v>310882232.12199998</v>
      </c>
      <c r="D21" s="40">
        <f t="shared" si="4"/>
        <v>310882232.12199998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-4.0732622146606445E-3</v>
      </c>
      <c r="C23" s="40">
        <f t="shared" ref="C23:D23" si="5">C21-C11</f>
        <v>310882232.12199998</v>
      </c>
      <c r="D23" s="40">
        <f t="shared" si="5"/>
        <v>310882232.12199998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-4.0732622146606445E-3</v>
      </c>
      <c r="C25" s="40">
        <f t="shared" ref="C25" si="6">C23-C17</f>
        <v>310882232.12199998</v>
      </c>
      <c r="D25" s="40">
        <f>D23-D17</f>
        <v>310882232.12199998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-4.0732622146606445E-3</v>
      </c>
      <c r="C33" s="61">
        <f t="shared" ref="C33:D33" si="8">C25+C29</f>
        <v>310882232.12199998</v>
      </c>
      <c r="D33" s="61">
        <f t="shared" si="8"/>
        <v>310882232.12199998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647969616.40999997</v>
      </c>
      <c r="C48" s="124">
        <f>C9</f>
        <v>846246170.80999994</v>
      </c>
      <c r="D48" s="124">
        <f t="shared" ref="D48" si="12">D9</f>
        <v>846246170.80999994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647969616.45407331</v>
      </c>
      <c r="C53" s="60">
        <f t="shared" ref="C53:D53" si="14">C14</f>
        <v>565404283.40799999</v>
      </c>
      <c r="D53" s="60">
        <f t="shared" si="14"/>
        <v>565404283.40799999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-4.4073343276977539E-2</v>
      </c>
      <c r="C57" s="61">
        <f>C48+C49-C53+C55</f>
        <v>280841887.40199995</v>
      </c>
      <c r="D57" s="61">
        <f t="shared" ref="D57" si="16">D48+D49-D53+D55</f>
        <v>280841887.40199995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-4.4073343276977539E-2</v>
      </c>
      <c r="C59" s="61">
        <f t="shared" ref="C59:D59" si="17">C57-C49</f>
        <v>280841887.40199995</v>
      </c>
      <c r="D59" s="61">
        <f t="shared" si="17"/>
        <v>280841887.40199995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172598064.84</v>
      </c>
      <c r="C63" s="122">
        <f t="shared" ref="C63:D63" si="18">C10</f>
        <v>127419961.22</v>
      </c>
      <c r="D63" s="122">
        <f t="shared" si="18"/>
        <v>127419961.22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172598064.79999998</v>
      </c>
      <c r="C68" s="23">
        <f t="shared" ref="C68:D68" si="20">C15</f>
        <v>97379616.5</v>
      </c>
      <c r="D68" s="23">
        <f t="shared" si="20"/>
        <v>97379616.5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4.0000021457672119E-2</v>
      </c>
      <c r="C72" s="40">
        <f t="shared" ref="C72:D72" si="22">C63+C64-C68+C70</f>
        <v>30040344.719999999</v>
      </c>
      <c r="D72" s="40">
        <f t="shared" si="22"/>
        <v>30040344.719999999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4.0000021457672119E-2</v>
      </c>
      <c r="C74" s="40">
        <f>C72-C64</f>
        <v>30040344.719999999</v>
      </c>
      <c r="D74" s="40">
        <f t="shared" ref="D74" si="23">D72-D64</f>
        <v>30040344.719999999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820567681.25</v>
      </c>
      <c r="Q2" s="18">
        <f>'Formato 4'!C8</f>
        <v>973666132.02999997</v>
      </c>
      <c r="R2" s="18">
        <f>'Formato 4'!D8</f>
        <v>973666132.02999997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647969616.40999997</v>
      </c>
      <c r="Q3" s="18">
        <f>'Formato 4'!C9</f>
        <v>846246170.80999994</v>
      </c>
      <c r="R3" s="18">
        <f>'Formato 4'!D9</f>
        <v>846246170.80999994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172598064.84</v>
      </c>
      <c r="Q4" s="18">
        <f>'Formato 4'!C10</f>
        <v>127419961.22</v>
      </c>
      <c r="R4" s="18">
        <f>'Formato 4'!D10</f>
        <v>127419961.22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820567681.25407326</v>
      </c>
      <c r="Q6" s="18">
        <f>'Formato 4'!C13</f>
        <v>662783899.90799999</v>
      </c>
      <c r="R6" s="18">
        <f>'Formato 4'!D13</f>
        <v>662783899.90799999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647969616.45407331</v>
      </c>
      <c r="Q7" s="18">
        <f>'Formato 4'!C14</f>
        <v>565404283.40799999</v>
      </c>
      <c r="R7" s="18">
        <f>'Formato 4'!D14</f>
        <v>565404283.40799999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172598064.79999998</v>
      </c>
      <c r="Q8" s="18">
        <f>'Formato 4'!C15</f>
        <v>97379616.5</v>
      </c>
      <c r="R8" s="18">
        <f>'Formato 4'!D15</f>
        <v>97379616.5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-4.0732622146606445E-3</v>
      </c>
      <c r="Q12" s="18">
        <f>'Formato 4'!C21</f>
        <v>310882232.12199998</v>
      </c>
      <c r="R12" s="18">
        <f>'Formato 4'!D21</f>
        <v>310882232.12199998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-4.0732622146606445E-3</v>
      </c>
      <c r="Q13" s="18">
        <f>'Formato 4'!C23</f>
        <v>310882232.12199998</v>
      </c>
      <c r="R13" s="18">
        <f>'Formato 4'!D23</f>
        <v>310882232.12199998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-4.0732622146606445E-3</v>
      </c>
      <c r="Q14" s="18">
        <f>'Formato 4'!C25</f>
        <v>310882232.12199998</v>
      </c>
      <c r="R14" s="18">
        <f>'Formato 4'!D25</f>
        <v>310882232.12199998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-4.0732622146606445E-3</v>
      </c>
      <c r="Q18">
        <f>'Formato 4'!C33</f>
        <v>310882232.12199998</v>
      </c>
      <c r="R18">
        <f>'Formato 4'!D33</f>
        <v>310882232.12199998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647969616.40999997</v>
      </c>
      <c r="Q26">
        <f>'Formato 4'!C48</f>
        <v>846246170.80999994</v>
      </c>
      <c r="R26">
        <f>'Formato 4'!D48</f>
        <v>846246170.80999994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647969616.45407331</v>
      </c>
      <c r="Q30">
        <f>'Formato 4'!C53</f>
        <v>565404283.40799999</v>
      </c>
      <c r="R30">
        <f>'Formato 4'!D53</f>
        <v>565404283.40799999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172598064.84</v>
      </c>
      <c r="Q32">
        <f>'Formato 4'!C63</f>
        <v>127419961.22</v>
      </c>
      <c r="R32">
        <f>'Formato 4'!D63</f>
        <v>127419961.22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172598064.79999998</v>
      </c>
      <c r="Q36">
        <f>'Formato 4'!C68</f>
        <v>97379616.5</v>
      </c>
      <c r="R36">
        <f>'Formato 4'!D68</f>
        <v>97379616.5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4.0000021457672119E-2</v>
      </c>
      <c r="Q38">
        <f>'Formato 4'!C72</f>
        <v>30040344.719999999</v>
      </c>
      <c r="R38">
        <f>'Formato 4'!D72</f>
        <v>30040344.719999999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4.0000021457672119E-2</v>
      </c>
      <c r="Q39">
        <f>'Formato 4'!C74</f>
        <v>30040344.719999999</v>
      </c>
      <c r="R39">
        <f>'Formato 4'!D74</f>
        <v>30040344.719999999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 enableFormatConditionsCalculation="0"/>
  <dimension ref="A1:H76"/>
  <sheetViews>
    <sheetView showGridLines="0" workbookViewId="0">
      <selection activeCell="F58" sqref="F58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x14ac:dyDescent="0.25">
      <c r="A2" s="153" t="str">
        <f>ENTE_PUBLICO_A</f>
        <v>JUNTA DE AGUA POTABLE DRENAJE ALCANTARILLADO Y SANEAMIENTO DEL MUNICIPIO DE IRAPUATO GTO,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x14ac:dyDescent="0.25">
      <c r="A4" s="159" t="str">
        <f>TRIMESTRE</f>
        <v>Del 1 de enero al 31 de diciembre de 2020 (b)</v>
      </c>
      <c r="B4" s="160"/>
      <c r="C4" s="160"/>
      <c r="D4" s="160"/>
      <c r="E4" s="160"/>
      <c r="F4" s="160"/>
      <c r="G4" s="161"/>
    </row>
    <row r="5" spans="1:8" x14ac:dyDescent="0.2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28571359.949999999</v>
      </c>
      <c r="C13" s="60">
        <v>0</v>
      </c>
      <c r="D13" s="60">
        <f>+B13+C13</f>
        <v>28571359.949999999</v>
      </c>
      <c r="E13" s="60">
        <v>24316773.950000003</v>
      </c>
      <c r="F13" s="60">
        <v>24316773.950000003</v>
      </c>
      <c r="G13" s="60">
        <f t="shared" si="0"/>
        <v>-4254585.9999999963</v>
      </c>
    </row>
    <row r="14" spans="1:8" x14ac:dyDescent="0.25">
      <c r="A14" s="53" t="s">
        <v>221</v>
      </c>
      <c r="B14" s="60">
        <v>20675967.199999999</v>
      </c>
      <c r="C14" s="60">
        <v>-15000000</v>
      </c>
      <c r="D14" s="60">
        <f>+B14+C14</f>
        <v>5675967.1999999993</v>
      </c>
      <c r="E14" s="60">
        <v>5459653.2599999998</v>
      </c>
      <c r="F14" s="60">
        <v>5459653.2599999998</v>
      </c>
      <c r="G14" s="60">
        <f t="shared" si="0"/>
        <v>-15216313.939999999</v>
      </c>
    </row>
    <row r="15" spans="1:8" x14ac:dyDescent="0.25">
      <c r="A15" s="53" t="s">
        <v>222</v>
      </c>
      <c r="B15" s="60">
        <v>598722289.25999999</v>
      </c>
      <c r="C15" s="60">
        <v>221564643.28999999</v>
      </c>
      <c r="D15" s="60">
        <f>+B15+C15</f>
        <v>820286932.54999995</v>
      </c>
      <c r="E15" s="60">
        <v>816469743.60486484</v>
      </c>
      <c r="F15" s="60">
        <v>816469743.60486484</v>
      </c>
      <c r="G15" s="60">
        <f t="shared" si="0"/>
        <v>217747454.34486485</v>
      </c>
    </row>
    <row r="16" spans="1:8" x14ac:dyDescent="0.25">
      <c r="A16" s="10" t="s">
        <v>275</v>
      </c>
      <c r="B16" s="60">
        <f>SUM(B17:B27)</f>
        <v>0</v>
      </c>
      <c r="C16" s="60">
        <v>0</v>
      </c>
      <c r="D16" s="60">
        <f t="shared" ref="D16:F16" si="1">SUM(D17:D27)</f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0</v>
      </c>
      <c r="C35" s="60">
        <f t="shared" ref="C35:E35" si="5">C36</f>
        <v>0</v>
      </c>
      <c r="D35" s="60">
        <f t="shared" si="5"/>
        <v>0</v>
      </c>
      <c r="E35" s="60">
        <f t="shared" si="5"/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647969616.40999997</v>
      </c>
      <c r="C41" s="61">
        <f t="shared" ref="C41:E41" si="7">SUM(C9,C10,C11,C12,C13,C14,C15,C16,C28,C34,C35,C37)</f>
        <v>206564643.28999999</v>
      </c>
      <c r="D41" s="61">
        <f t="shared" si="7"/>
        <v>854534259.69999993</v>
      </c>
      <c r="E41" s="61">
        <f t="shared" si="7"/>
        <v>846246170.81486487</v>
      </c>
      <c r="F41" s="61">
        <f>SUM(F9,F10,F11,F12,F13,F14,F15,F16,F28,F34,F35,F37)</f>
        <v>846246170.81486487</v>
      </c>
      <c r="G41" s="61">
        <f>SUM(G9,G10,G11,G12,G13,G14,G15,G16,G28,G34,G35,G37)</f>
        <v>198276554.40486485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198276554.40486485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148466795.02000001</v>
      </c>
      <c r="C45" s="60">
        <f t="shared" ref="C45:G45" si="8">SUM(C46:C53)</f>
        <v>-74702074.000000015</v>
      </c>
      <c r="D45" s="60">
        <f t="shared" si="8"/>
        <v>73764721.019999996</v>
      </c>
      <c r="E45" s="60">
        <f t="shared" si="8"/>
        <v>65426381.852239996</v>
      </c>
      <c r="F45" s="60">
        <f t="shared" si="8"/>
        <v>65426381.852239996</v>
      </c>
      <c r="G45" s="60">
        <f t="shared" si="8"/>
        <v>-83040413.167760015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148466795.02000001</v>
      </c>
      <c r="C48" s="60">
        <v>-74702074.000000015</v>
      </c>
      <c r="D48" s="60">
        <f>+B48+C48</f>
        <v>73764721.019999996</v>
      </c>
      <c r="E48" s="60">
        <v>65426381.852239996</v>
      </c>
      <c r="F48" s="60">
        <v>65426381.852239996</v>
      </c>
      <c r="G48" s="60">
        <f t="shared" si="9"/>
        <v>-83040413.167760015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24131269.82</v>
      </c>
      <c r="C54" s="60">
        <f t="shared" ref="C54:G54" si="10">SUM(C55:C58)</f>
        <v>22138439.410000004</v>
      </c>
      <c r="D54" s="60">
        <f t="shared" si="10"/>
        <v>46269709.230000004</v>
      </c>
      <c r="E54" s="60">
        <f t="shared" si="10"/>
        <v>61993579.370000005</v>
      </c>
      <c r="F54" s="60">
        <f t="shared" si="10"/>
        <v>61993579.370000005</v>
      </c>
      <c r="G54" s="60">
        <f t="shared" si="10"/>
        <v>37862309.550000004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24131269.82</v>
      </c>
      <c r="C58" s="60">
        <v>22138439.410000004</v>
      </c>
      <c r="D58" s="60">
        <f>+B58+C58</f>
        <v>46269709.230000004</v>
      </c>
      <c r="E58" s="60">
        <v>61993579.370000005</v>
      </c>
      <c r="F58" s="60">
        <v>61993579.370000005</v>
      </c>
      <c r="G58" s="60">
        <f t="shared" si="11"/>
        <v>37862309.550000004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172598064.84</v>
      </c>
      <c r="C65" s="61">
        <f t="shared" ref="C65:G65" si="13">C45+C54+C59+C62+C63</f>
        <v>-52563634.590000011</v>
      </c>
      <c r="D65" s="61">
        <f t="shared" si="13"/>
        <v>120034430.25</v>
      </c>
      <c r="E65" s="61">
        <f t="shared" si="13"/>
        <v>127419961.22224</v>
      </c>
      <c r="F65" s="61">
        <f t="shared" si="13"/>
        <v>127419961.22224</v>
      </c>
      <c r="G65" s="61">
        <f t="shared" si="13"/>
        <v>-45178103.61776001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v>0</v>
      </c>
      <c r="D67" s="61">
        <f t="shared" ref="D67:G67" si="14">D68</f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820567681.25</v>
      </c>
      <c r="C70" s="61">
        <f t="shared" ref="C70:G70" si="15">C41+C65+C67</f>
        <v>154001008.69999999</v>
      </c>
      <c r="D70" s="61">
        <f t="shared" si="15"/>
        <v>974568689.94999993</v>
      </c>
      <c r="E70" s="61">
        <f t="shared" si="15"/>
        <v>973666132.03710485</v>
      </c>
      <c r="F70" s="61">
        <f t="shared" si="15"/>
        <v>973666132.03710485</v>
      </c>
      <c r="G70" s="61">
        <f t="shared" si="15"/>
        <v>153098450.78710485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28571359.949999999</v>
      </c>
      <c r="Q7" s="18">
        <f>'Formato 5'!C13</f>
        <v>0</v>
      </c>
      <c r="R7" s="18">
        <f>'Formato 5'!D13</f>
        <v>28571359.949999999</v>
      </c>
      <c r="S7" s="18">
        <f>'Formato 5'!E13</f>
        <v>24316773.950000003</v>
      </c>
      <c r="T7" s="18">
        <f>'Formato 5'!F13</f>
        <v>24316773.950000003</v>
      </c>
      <c r="U7" s="18">
        <f>'Formato 5'!G13</f>
        <v>-4254585.9999999963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20675967.199999999</v>
      </c>
      <c r="Q8" s="18">
        <f>'Formato 5'!C14</f>
        <v>-15000000</v>
      </c>
      <c r="R8" s="18">
        <f>'Formato 5'!D14</f>
        <v>5675967.1999999993</v>
      </c>
      <c r="S8" s="18">
        <f>'Formato 5'!E14</f>
        <v>5459653.2599999998</v>
      </c>
      <c r="T8" s="18">
        <f>'Formato 5'!F14</f>
        <v>5459653.2599999998</v>
      </c>
      <c r="U8" s="18">
        <f>'Formato 5'!G14</f>
        <v>-15216313.939999999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598722289.25999999</v>
      </c>
      <c r="Q9" s="18">
        <f>'Formato 5'!C15</f>
        <v>221564643.28999999</v>
      </c>
      <c r="R9" s="18">
        <f>'Formato 5'!D15</f>
        <v>820286932.54999995</v>
      </c>
      <c r="S9" s="18">
        <f>'Formato 5'!E15</f>
        <v>816469743.60486484</v>
      </c>
      <c r="T9" s="18">
        <f>'Formato 5'!F15</f>
        <v>816469743.60486484</v>
      </c>
      <c r="U9" s="18">
        <f>'Formato 5'!G15</f>
        <v>217747454.34486485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647969616.40999997</v>
      </c>
      <c r="Q34">
        <f>'Formato 5'!C41</f>
        <v>206564643.28999999</v>
      </c>
      <c r="R34">
        <f>'Formato 5'!D41</f>
        <v>854534259.69999993</v>
      </c>
      <c r="S34">
        <f>'Formato 5'!E41</f>
        <v>846246170.81486487</v>
      </c>
      <c r="T34">
        <f>'Formato 5'!F41</f>
        <v>846246170.81486487</v>
      </c>
      <c r="U34">
        <f>'Formato 5'!G41</f>
        <v>198276554.40486485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198276554.40486485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148466795.02000001</v>
      </c>
      <c r="Q37">
        <f>'Formato 5'!C45</f>
        <v>-74702074.000000015</v>
      </c>
      <c r="R37">
        <f>'Formato 5'!D45</f>
        <v>73764721.019999996</v>
      </c>
      <c r="S37">
        <f>'Formato 5'!E45</f>
        <v>65426381.852239996</v>
      </c>
      <c r="T37">
        <f>'Formato 5'!F45</f>
        <v>65426381.852239996</v>
      </c>
      <c r="U37">
        <f>'Formato 5'!G45</f>
        <v>-83040413.167760015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148466795.02000001</v>
      </c>
      <c r="Q40">
        <f>'Formato 5'!C48</f>
        <v>-74702074.000000015</v>
      </c>
      <c r="R40">
        <f>'Formato 5'!D48</f>
        <v>73764721.019999996</v>
      </c>
      <c r="S40">
        <f>'Formato 5'!E48</f>
        <v>65426381.852239996</v>
      </c>
      <c r="T40">
        <f>'Formato 5'!F48</f>
        <v>65426381.852239996</v>
      </c>
      <c r="U40">
        <f>'Formato 5'!G48</f>
        <v>-83040413.167760015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24131269.82</v>
      </c>
      <c r="Q46">
        <f>'Formato 5'!C54</f>
        <v>22138439.410000004</v>
      </c>
      <c r="R46">
        <f>'Formato 5'!D54</f>
        <v>46269709.230000004</v>
      </c>
      <c r="S46">
        <f>'Formato 5'!E54</f>
        <v>61993579.370000005</v>
      </c>
      <c r="T46">
        <f>'Formato 5'!F54</f>
        <v>61993579.370000005</v>
      </c>
      <c r="U46">
        <f>'Formato 5'!G54</f>
        <v>37862309.550000004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24131269.82</v>
      </c>
      <c r="Q50">
        <f>'Formato 5'!C58</f>
        <v>22138439.410000004</v>
      </c>
      <c r="R50">
        <f>'Formato 5'!D58</f>
        <v>46269709.230000004</v>
      </c>
      <c r="S50">
        <f>'Formato 5'!E58</f>
        <v>61993579.370000005</v>
      </c>
      <c r="T50">
        <f>'Formato 5'!F58</f>
        <v>61993579.370000005</v>
      </c>
      <c r="U50">
        <f>'Formato 5'!G58</f>
        <v>37862309.550000004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172598064.84</v>
      </c>
      <c r="Q56">
        <f>'Formato 5'!C65</f>
        <v>-52563634.590000011</v>
      </c>
      <c r="R56">
        <f>'Formato 5'!D65</f>
        <v>120034430.25</v>
      </c>
      <c r="S56">
        <f>'Formato 5'!E65</f>
        <v>127419961.22224</v>
      </c>
      <c r="T56">
        <f>'Formato 5'!F65</f>
        <v>127419961.22224</v>
      </c>
      <c r="U56">
        <f>'Formato 5'!G65</f>
        <v>-45178103.61776001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 enableFormatConditionsCalculation="0"/>
  <dimension ref="A1:XFC161"/>
  <sheetViews>
    <sheetView zoomScale="80" zoomScaleNormal="80" zoomScalePageLayoutView="80" workbookViewId="0">
      <selection activeCell="F159" sqref="F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42578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3277</v>
      </c>
      <c r="B1" s="171"/>
      <c r="C1" s="171"/>
      <c r="D1" s="171"/>
      <c r="E1" s="171"/>
      <c r="F1" s="171"/>
      <c r="G1" s="171"/>
    </row>
    <row r="2" spans="1:7" x14ac:dyDescent="0.25">
      <c r="A2" s="175" t="str">
        <f>ENTE_PUBLICO_A</f>
        <v>JUNTA DE AGUA POTABLE DRENAJE ALCANTARILLADO Y SANEAMIENTO DEL MUNICIPIO DE IRAPUATO GTO,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x14ac:dyDescent="0.25">
      <c r="A5" s="177" t="str">
        <f>TRIMESTRE</f>
        <v>Del 1 de enero al 31 de diciembre de 2020 (b)</v>
      </c>
      <c r="B5" s="177"/>
      <c r="C5" s="177"/>
      <c r="D5" s="177"/>
      <c r="E5" s="177"/>
      <c r="F5" s="177"/>
      <c r="G5" s="177"/>
    </row>
    <row r="6" spans="1:7" x14ac:dyDescent="0.2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x14ac:dyDescent="0.25">
      <c r="A9" s="82" t="s">
        <v>285</v>
      </c>
      <c r="B9" s="79">
        <f>SUM(B10,B18,B28,B38,B48,B58,B62,B71,B75)</f>
        <v>647969616.45407319</v>
      </c>
      <c r="C9" s="79">
        <f t="shared" ref="C9:G9" si="0">SUM(C10,C18,C28,C38,C48,C58,C62,C71,C75)</f>
        <v>206564643.28327492</v>
      </c>
      <c r="D9" s="79">
        <f t="shared" si="0"/>
        <v>854534259.73734808</v>
      </c>
      <c r="E9" s="79">
        <f t="shared" si="0"/>
        <v>565404283.40799999</v>
      </c>
      <c r="F9" s="79">
        <f t="shared" si="0"/>
        <v>565404283.40799999</v>
      </c>
      <c r="G9" s="79">
        <f t="shared" si="0"/>
        <v>289129976.32934797</v>
      </c>
    </row>
    <row r="10" spans="1:7" x14ac:dyDescent="0.25">
      <c r="A10" s="83" t="s">
        <v>286</v>
      </c>
      <c r="B10" s="80">
        <f>SUM(B11:B17)</f>
        <v>118296814.69407302</v>
      </c>
      <c r="C10" s="80">
        <f t="shared" ref="C10:F10" si="1">SUM(C11:C17)</f>
        <v>4.2698322795331478E-4</v>
      </c>
      <c r="D10" s="80">
        <f t="shared" si="1"/>
        <v>118296814.69450001</v>
      </c>
      <c r="E10" s="80">
        <f t="shared" si="1"/>
        <v>111229441.93000001</v>
      </c>
      <c r="F10" s="80">
        <f t="shared" si="1"/>
        <v>111229441.93000001</v>
      </c>
      <c r="G10" s="80">
        <f>SUM(G11:G17)</f>
        <v>7067372.7644999959</v>
      </c>
    </row>
    <row r="11" spans="1:7" x14ac:dyDescent="0.25">
      <c r="A11" s="84" t="s">
        <v>287</v>
      </c>
      <c r="B11" s="80">
        <v>82703455.549999997</v>
      </c>
      <c r="C11" s="80">
        <v>-203489.31000000238</v>
      </c>
      <c r="D11" s="80">
        <v>82499966.239999995</v>
      </c>
      <c r="E11" s="80">
        <v>79407120.120000005</v>
      </c>
      <c r="F11" s="80">
        <v>79407120.120000005</v>
      </c>
      <c r="G11" s="80">
        <f>D11-E11</f>
        <v>3092846.1199999899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12651930.680000002</v>
      </c>
      <c r="C13" s="80">
        <v>905991.42999999411</v>
      </c>
      <c r="D13" s="80">
        <v>13557922.109999996</v>
      </c>
      <c r="E13" s="80">
        <v>12163528.560000001</v>
      </c>
      <c r="F13" s="80">
        <v>12163528.560000001</v>
      </c>
      <c r="G13" s="80">
        <f t="shared" ref="G13:G17" si="2">D13-E13</f>
        <v>1394393.5499999952</v>
      </c>
    </row>
    <row r="14" spans="1:7" x14ac:dyDescent="0.25">
      <c r="A14" s="84" t="s">
        <v>290</v>
      </c>
      <c r="B14" s="80">
        <v>21309353.604073022</v>
      </c>
      <c r="C14" s="80">
        <v>-1202502.1195730083</v>
      </c>
      <c r="D14" s="80">
        <v>20106851.484500013</v>
      </c>
      <c r="E14" s="80">
        <v>17954314.790000003</v>
      </c>
      <c r="F14" s="80">
        <v>17954314.790000003</v>
      </c>
      <c r="G14" s="80">
        <f t="shared" si="2"/>
        <v>2152536.6945000105</v>
      </c>
    </row>
    <row r="15" spans="1:7" x14ac:dyDescent="0.25">
      <c r="A15" s="84" t="s">
        <v>291</v>
      </c>
      <c r="B15" s="80">
        <v>1627074.86</v>
      </c>
      <c r="C15" s="80">
        <v>499999.99999999977</v>
      </c>
      <c r="D15" s="80">
        <v>2127074.86</v>
      </c>
      <c r="E15" s="80">
        <v>1704478.46</v>
      </c>
      <c r="F15" s="80">
        <v>1704478.46</v>
      </c>
      <c r="G15" s="80">
        <f t="shared" si="2"/>
        <v>422596.39999999991</v>
      </c>
    </row>
    <row r="16" spans="1:7" x14ac:dyDescent="0.25">
      <c r="A16" s="84" t="s">
        <v>292</v>
      </c>
      <c r="B16" s="80">
        <v>5000</v>
      </c>
      <c r="C16" s="80">
        <v>0</v>
      </c>
      <c r="D16" s="80">
        <v>5000</v>
      </c>
      <c r="E16" s="80">
        <v>0</v>
      </c>
      <c r="F16" s="80">
        <v>0</v>
      </c>
      <c r="G16" s="80">
        <f t="shared" si="2"/>
        <v>5000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83783120.520000011</v>
      </c>
      <c r="C18" s="80">
        <f t="shared" ref="C18:F18" si="3">SUM(C19:C27)</f>
        <v>-14250360.210000012</v>
      </c>
      <c r="D18" s="80">
        <f t="shared" si="3"/>
        <v>69532760.310000002</v>
      </c>
      <c r="E18" s="80">
        <f t="shared" si="3"/>
        <v>55510489.828000009</v>
      </c>
      <c r="F18" s="80">
        <f t="shared" si="3"/>
        <v>55510489.828000009</v>
      </c>
      <c r="G18" s="80">
        <f>SUM(G19:G27)</f>
        <v>14022270.481999991</v>
      </c>
    </row>
    <row r="19" spans="1:7" x14ac:dyDescent="0.25">
      <c r="A19" s="84" t="s">
        <v>295</v>
      </c>
      <c r="B19" s="80">
        <v>1587800.7500000002</v>
      </c>
      <c r="C19" s="80">
        <v>-277249.76000000047</v>
      </c>
      <c r="D19" s="80">
        <v>1310550.9899999998</v>
      </c>
      <c r="E19" s="80">
        <v>1108623.7000000004</v>
      </c>
      <c r="F19" s="80">
        <v>1108623.7000000004</v>
      </c>
      <c r="G19" s="80">
        <f>D19-E19</f>
        <v>201927.28999999934</v>
      </c>
    </row>
    <row r="20" spans="1:7" x14ac:dyDescent="0.25">
      <c r="A20" s="84" t="s">
        <v>296</v>
      </c>
      <c r="B20" s="80">
        <v>364012.14</v>
      </c>
      <c r="C20" s="80">
        <v>-151858.34</v>
      </c>
      <c r="D20" s="80">
        <v>212153.80000000002</v>
      </c>
      <c r="E20" s="80">
        <v>151617.53000000003</v>
      </c>
      <c r="F20" s="80">
        <v>151617.53000000003</v>
      </c>
      <c r="G20" s="80">
        <f t="shared" ref="G20:G27" si="4">D20-E20</f>
        <v>60536.26999999999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29084003.93</v>
      </c>
      <c r="C22" s="80">
        <v>-1132987.5000000075</v>
      </c>
      <c r="D22" s="80">
        <v>27951016.429999992</v>
      </c>
      <c r="E22" s="80">
        <v>20633380.630000003</v>
      </c>
      <c r="F22" s="80">
        <v>20633380.630000003</v>
      </c>
      <c r="G22" s="80">
        <f t="shared" si="4"/>
        <v>7317635.7999999896</v>
      </c>
    </row>
    <row r="23" spans="1:7" x14ac:dyDescent="0.25">
      <c r="A23" s="84" t="s">
        <v>299</v>
      </c>
      <c r="B23" s="80">
        <v>38751266.740000002</v>
      </c>
      <c r="C23" s="80">
        <v>-10376581.080000002</v>
      </c>
      <c r="D23" s="80">
        <v>28374685.66</v>
      </c>
      <c r="E23" s="80">
        <v>23330245.57</v>
      </c>
      <c r="F23" s="80">
        <v>23330245.57</v>
      </c>
      <c r="G23" s="80">
        <f t="shared" si="4"/>
        <v>5044440.09</v>
      </c>
    </row>
    <row r="24" spans="1:7" x14ac:dyDescent="0.25">
      <c r="A24" s="84" t="s">
        <v>300</v>
      </c>
      <c r="B24" s="80">
        <v>10101370.370000001</v>
      </c>
      <c r="C24" s="80">
        <v>-2445528.8599999994</v>
      </c>
      <c r="D24" s="80">
        <v>7655841.5100000016</v>
      </c>
      <c r="E24" s="80">
        <v>6927027.527999999</v>
      </c>
      <c r="F24" s="80">
        <v>6927027.527999999</v>
      </c>
      <c r="G24" s="80">
        <f t="shared" si="4"/>
        <v>728813.98200000264</v>
      </c>
    </row>
    <row r="25" spans="1:7" x14ac:dyDescent="0.25">
      <c r="A25" s="84" t="s">
        <v>301</v>
      </c>
      <c r="B25" s="80">
        <v>1940410.02</v>
      </c>
      <c r="C25" s="80">
        <v>-94530.960000000196</v>
      </c>
      <c r="D25" s="80">
        <v>1845879.0599999998</v>
      </c>
      <c r="E25" s="80">
        <v>1646125.67</v>
      </c>
      <c r="F25" s="80">
        <v>1646125.67</v>
      </c>
      <c r="G25" s="80">
        <f t="shared" si="4"/>
        <v>199753.3899999999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1954256.5700000003</v>
      </c>
      <c r="C27" s="80">
        <v>228376.29000000004</v>
      </c>
      <c r="D27" s="80">
        <v>2182632.8600000003</v>
      </c>
      <c r="E27" s="80">
        <v>1713469.1999999997</v>
      </c>
      <c r="F27" s="80">
        <v>1713469.1999999997</v>
      </c>
      <c r="G27" s="80">
        <f t="shared" si="4"/>
        <v>469163.66000000061</v>
      </c>
    </row>
    <row r="28" spans="1:7" x14ac:dyDescent="0.25">
      <c r="A28" s="83" t="s">
        <v>304</v>
      </c>
      <c r="B28" s="80">
        <f>SUM(B29:B37)</f>
        <v>139719573.09999999</v>
      </c>
      <c r="C28" s="80">
        <f t="shared" ref="C28:G28" si="5">SUM(C29:C37)</f>
        <v>5164139.3699999843</v>
      </c>
      <c r="D28" s="80">
        <f t="shared" si="5"/>
        <v>144883712.47</v>
      </c>
      <c r="E28" s="80">
        <f t="shared" si="5"/>
        <v>135702512.24000001</v>
      </c>
      <c r="F28" s="80">
        <f t="shared" si="5"/>
        <v>135702512.24000001</v>
      </c>
      <c r="G28" s="80">
        <f t="shared" si="5"/>
        <v>9181200.2299999818</v>
      </c>
    </row>
    <row r="29" spans="1:7" x14ac:dyDescent="0.25">
      <c r="A29" s="84" t="s">
        <v>305</v>
      </c>
      <c r="B29" s="80">
        <v>80760468.25</v>
      </c>
      <c r="C29" s="80">
        <v>2517859.9799999893</v>
      </c>
      <c r="D29" s="80">
        <v>83278328.229999989</v>
      </c>
      <c r="E29" s="80">
        <v>81260718.63000001</v>
      </c>
      <c r="F29" s="80">
        <v>81260718.63000001</v>
      </c>
      <c r="G29" s="80">
        <f>D29-E29</f>
        <v>2017609.5999999791</v>
      </c>
    </row>
    <row r="30" spans="1:7" x14ac:dyDescent="0.25">
      <c r="A30" s="84" t="s">
        <v>306</v>
      </c>
      <c r="B30" s="80">
        <v>3808682.9899999998</v>
      </c>
      <c r="C30" s="80">
        <v>-1564275.4999999995</v>
      </c>
      <c r="D30" s="80">
        <v>2244407.4900000002</v>
      </c>
      <c r="E30" s="80">
        <v>1180299.6299999999</v>
      </c>
      <c r="F30" s="80">
        <v>1180299.6299999999</v>
      </c>
      <c r="G30" s="80">
        <f t="shared" ref="G30:G37" si="6">D30-E30</f>
        <v>1064107.8600000003</v>
      </c>
    </row>
    <row r="31" spans="1:7" x14ac:dyDescent="0.25">
      <c r="A31" s="84" t="s">
        <v>307</v>
      </c>
      <c r="B31" s="80">
        <v>7406208.5099999998</v>
      </c>
      <c r="C31" s="80">
        <v>182722.1099999994</v>
      </c>
      <c r="D31" s="80">
        <v>7588930.6199999992</v>
      </c>
      <c r="E31" s="80">
        <v>5492206.7499999991</v>
      </c>
      <c r="F31" s="80">
        <v>5492206.7499999991</v>
      </c>
      <c r="G31" s="80">
        <f t="shared" si="6"/>
        <v>2096723.87</v>
      </c>
    </row>
    <row r="32" spans="1:7" x14ac:dyDescent="0.25">
      <c r="A32" s="84" t="s">
        <v>308</v>
      </c>
      <c r="B32" s="80">
        <v>4472431.82</v>
      </c>
      <c r="C32" s="80">
        <v>-101201.5700000003</v>
      </c>
      <c r="D32" s="80">
        <v>4371230.25</v>
      </c>
      <c r="E32" s="80">
        <v>3694421.26</v>
      </c>
      <c r="F32" s="80">
        <v>3694421.26</v>
      </c>
      <c r="G32" s="80">
        <f t="shared" si="6"/>
        <v>676808.99000000022</v>
      </c>
    </row>
    <row r="33" spans="1:7" x14ac:dyDescent="0.25">
      <c r="A33" s="84" t="s">
        <v>309</v>
      </c>
      <c r="B33" s="80">
        <v>10923319.480000002</v>
      </c>
      <c r="C33" s="80">
        <v>1408936.4299999978</v>
      </c>
      <c r="D33" s="80">
        <v>12332255.91</v>
      </c>
      <c r="E33" s="80">
        <v>11487626.959999999</v>
      </c>
      <c r="F33" s="80">
        <v>11487626.959999999</v>
      </c>
      <c r="G33" s="80">
        <f t="shared" si="6"/>
        <v>844628.95000000112</v>
      </c>
    </row>
    <row r="34" spans="1:7" x14ac:dyDescent="0.25">
      <c r="A34" s="84" t="s">
        <v>310</v>
      </c>
      <c r="B34" s="80">
        <v>2435649</v>
      </c>
      <c r="C34" s="80">
        <v>99500</v>
      </c>
      <c r="D34" s="80">
        <v>2535149</v>
      </c>
      <c r="E34" s="80">
        <v>2472522.0499999998</v>
      </c>
      <c r="F34" s="80">
        <v>2472522.0499999998</v>
      </c>
      <c r="G34" s="80">
        <f t="shared" si="6"/>
        <v>62626.950000000186</v>
      </c>
    </row>
    <row r="35" spans="1:7" x14ac:dyDescent="0.25">
      <c r="A35" s="84" t="s">
        <v>311</v>
      </c>
      <c r="B35" s="80">
        <v>219271.07000000004</v>
      </c>
      <c r="C35" s="80">
        <v>-170070.67000000004</v>
      </c>
      <c r="D35" s="80">
        <v>49200.4</v>
      </c>
      <c r="E35" s="80">
        <v>7342.35</v>
      </c>
      <c r="F35" s="80">
        <v>7342.35</v>
      </c>
      <c r="G35" s="80">
        <f t="shared" si="6"/>
        <v>41858.050000000003</v>
      </c>
    </row>
    <row r="36" spans="1:7" x14ac:dyDescent="0.25">
      <c r="A36" s="84" t="s">
        <v>312</v>
      </c>
      <c r="B36" s="80">
        <v>379956.33999999997</v>
      </c>
      <c r="C36" s="80">
        <v>-193882.50999999995</v>
      </c>
      <c r="D36" s="80">
        <v>186073.83000000002</v>
      </c>
      <c r="E36" s="80">
        <v>153440.12000000002</v>
      </c>
      <c r="F36" s="80">
        <v>153440.12000000002</v>
      </c>
      <c r="G36" s="80">
        <f t="shared" si="6"/>
        <v>32633.709999999992</v>
      </c>
    </row>
    <row r="37" spans="1:7" x14ac:dyDescent="0.25">
      <c r="A37" s="84" t="s">
        <v>313</v>
      </c>
      <c r="B37" s="80">
        <v>29313585.640000004</v>
      </c>
      <c r="C37" s="80">
        <v>2984551.0999999978</v>
      </c>
      <c r="D37" s="80">
        <v>32298136.740000002</v>
      </c>
      <c r="E37" s="80">
        <v>29953934.490000002</v>
      </c>
      <c r="F37" s="80">
        <v>29953934.490000002</v>
      </c>
      <c r="G37" s="80">
        <f t="shared" si="6"/>
        <v>2344202.25</v>
      </c>
    </row>
    <row r="38" spans="1:7" x14ac:dyDescent="0.25">
      <c r="A38" s="83" t="s">
        <v>314</v>
      </c>
      <c r="B38" s="80">
        <f>SUM(B39:B47)</f>
        <v>746418.09999999986</v>
      </c>
      <c r="C38" s="80">
        <f t="shared" ref="C38:G38" si="7">SUM(C39:C47)</f>
        <v>1228670</v>
      </c>
      <c r="D38" s="80">
        <f t="shared" si="7"/>
        <v>1975088.1</v>
      </c>
      <c r="E38" s="80">
        <f t="shared" si="7"/>
        <v>1899670</v>
      </c>
      <c r="F38" s="80">
        <f t="shared" si="7"/>
        <v>1899670</v>
      </c>
      <c r="G38" s="80">
        <f t="shared" si="7"/>
        <v>75418.100000000006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197418.1</v>
      </c>
      <c r="C42" s="80">
        <v>-22330</v>
      </c>
      <c r="D42" s="80">
        <v>175088.1</v>
      </c>
      <c r="E42" s="80">
        <v>99670</v>
      </c>
      <c r="F42" s="80">
        <v>99670</v>
      </c>
      <c r="G42" s="80">
        <f t="shared" si="8"/>
        <v>75418.100000000006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548999.99999999988</v>
      </c>
      <c r="C46" s="80">
        <v>1251000</v>
      </c>
      <c r="D46" s="80">
        <v>1800000</v>
      </c>
      <c r="E46" s="80">
        <v>1800000</v>
      </c>
      <c r="F46" s="80">
        <v>1800000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25971180.350000001</v>
      </c>
      <c r="C48" s="80">
        <f t="shared" ref="C48:G48" si="9">SUM(C49:C57)</f>
        <v>13074316.639999999</v>
      </c>
      <c r="D48" s="80">
        <f t="shared" si="9"/>
        <v>39045496.989999995</v>
      </c>
      <c r="E48" s="80">
        <f t="shared" si="9"/>
        <v>24610942.259999998</v>
      </c>
      <c r="F48" s="80">
        <f t="shared" si="9"/>
        <v>24610942.259999998</v>
      </c>
      <c r="G48" s="80">
        <f t="shared" si="9"/>
        <v>14434554.73</v>
      </c>
    </row>
    <row r="49" spans="1:7" x14ac:dyDescent="0.25">
      <c r="A49" s="84" t="s">
        <v>325</v>
      </c>
      <c r="B49" s="80">
        <v>326980.34999999998</v>
      </c>
      <c r="C49" s="80">
        <v>2106307.6399999997</v>
      </c>
      <c r="D49" s="80">
        <v>2433287.9899999998</v>
      </c>
      <c r="E49" s="80">
        <v>1757124.2799999998</v>
      </c>
      <c r="F49" s="80">
        <v>1757124.2799999998</v>
      </c>
      <c r="G49" s="80">
        <f>D49-E49</f>
        <v>676163.71</v>
      </c>
    </row>
    <row r="50" spans="1:7" x14ac:dyDescent="0.25">
      <c r="A50" s="84" t="s">
        <v>326</v>
      </c>
      <c r="B50" s="80">
        <v>77700</v>
      </c>
      <c r="C50" s="80">
        <v>-68480</v>
      </c>
      <c r="D50" s="80">
        <v>9220</v>
      </c>
      <c r="E50" s="80">
        <v>9220</v>
      </c>
      <c r="F50" s="80">
        <v>9220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360000</v>
      </c>
      <c r="C52" s="80">
        <v>489162.6</v>
      </c>
      <c r="D52" s="80">
        <v>849162.6</v>
      </c>
      <c r="E52" s="80">
        <v>849162.6</v>
      </c>
      <c r="F52" s="80">
        <v>849162.6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24199000</v>
      </c>
      <c r="C54" s="80">
        <v>9551636.3999999985</v>
      </c>
      <c r="D54" s="80">
        <v>33750636.399999999</v>
      </c>
      <c r="E54" s="80">
        <v>21642745.379999999</v>
      </c>
      <c r="F54" s="80">
        <v>21642745.379999999</v>
      </c>
      <c r="G54" s="80">
        <f t="shared" si="10"/>
        <v>12107891.02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999999.99999999988</v>
      </c>
      <c r="C56" s="80">
        <v>1000000.0000000001</v>
      </c>
      <c r="D56" s="80">
        <v>2000000</v>
      </c>
      <c r="E56" s="80">
        <v>349500</v>
      </c>
      <c r="F56" s="80">
        <v>349500</v>
      </c>
      <c r="G56" s="80">
        <f t="shared" si="10"/>
        <v>1650500</v>
      </c>
    </row>
    <row r="57" spans="1:7" x14ac:dyDescent="0.25">
      <c r="A57" s="84" t="s">
        <v>333</v>
      </c>
      <c r="B57" s="80">
        <v>7500</v>
      </c>
      <c r="C57" s="80">
        <v>-4310</v>
      </c>
      <c r="D57" s="80">
        <v>3190</v>
      </c>
      <c r="E57" s="80">
        <v>3190</v>
      </c>
      <c r="F57" s="80">
        <v>3190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226589861.25</v>
      </c>
      <c r="C58" s="80">
        <f t="shared" ref="C58:G58" si="11">SUM(C59:C61)</f>
        <v>-4851186.4800000042</v>
      </c>
      <c r="D58" s="80">
        <f t="shared" si="11"/>
        <v>221738674.76999998</v>
      </c>
      <c r="E58" s="80">
        <f t="shared" si="11"/>
        <v>176525835.42999998</v>
      </c>
      <c r="F58" s="80">
        <f t="shared" si="11"/>
        <v>176525835.42999998</v>
      </c>
      <c r="G58" s="80">
        <f t="shared" si="11"/>
        <v>45212839.340000004</v>
      </c>
    </row>
    <row r="59" spans="1:7" x14ac:dyDescent="0.25">
      <c r="A59" s="84" t="s">
        <v>335</v>
      </c>
      <c r="B59" s="80">
        <v>201371264.06999999</v>
      </c>
      <c r="C59" s="80">
        <v>6214352.6299999952</v>
      </c>
      <c r="D59" s="80">
        <v>207585616.69999999</v>
      </c>
      <c r="E59" s="80">
        <v>166431399.38999999</v>
      </c>
      <c r="F59" s="80">
        <v>166431399.38999999</v>
      </c>
      <c r="G59" s="80">
        <f>D59-E59</f>
        <v>41154217.310000002</v>
      </c>
    </row>
    <row r="60" spans="1:7" x14ac:dyDescent="0.25">
      <c r="A60" s="84" t="s">
        <v>336</v>
      </c>
      <c r="B60" s="80">
        <v>25218597.18</v>
      </c>
      <c r="C60" s="80">
        <v>-11065539.109999999</v>
      </c>
      <c r="D60" s="80">
        <v>14153058.07</v>
      </c>
      <c r="E60" s="80">
        <v>10094436.039999999</v>
      </c>
      <c r="F60" s="80">
        <v>10094436.039999999</v>
      </c>
      <c r="G60" s="80">
        <f t="shared" ref="G60:G61" si="12">D60-E60</f>
        <v>4058622.0300000012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52862648.439999998</v>
      </c>
      <c r="C62" s="80">
        <f t="shared" ref="C62:G62" si="13">SUM(C63:C67,C69:C70)</f>
        <v>197208804.20284799</v>
      </c>
      <c r="D62" s="80">
        <f t="shared" si="13"/>
        <v>250071452.64284799</v>
      </c>
      <c r="E62" s="80">
        <f t="shared" si="13"/>
        <v>59693431.260000005</v>
      </c>
      <c r="F62" s="80">
        <f t="shared" si="13"/>
        <v>59693431.260000005</v>
      </c>
      <c r="G62" s="80">
        <f t="shared" si="13"/>
        <v>190378021.38284796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52862648.439999998</v>
      </c>
      <c r="C66" s="80">
        <v>15115351.560000002</v>
      </c>
      <c r="D66" s="80">
        <v>67978000</v>
      </c>
      <c r="E66" s="80">
        <v>59693431.260000005</v>
      </c>
      <c r="F66" s="80">
        <v>59693431.260000005</v>
      </c>
      <c r="G66" s="80">
        <f t="shared" si="14"/>
        <v>8284568.7399999946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3293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182093452.64284799</v>
      </c>
      <c r="D70" s="80">
        <v>182093452.64284799</v>
      </c>
      <c r="E70" s="80">
        <v>0</v>
      </c>
      <c r="F70" s="80">
        <v>0</v>
      </c>
      <c r="G70" s="80">
        <f t="shared" si="14"/>
        <v>182093452.64284799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8990259.7600000016</v>
      </c>
      <c r="D71" s="80">
        <f t="shared" si="15"/>
        <v>8990259.7600000016</v>
      </c>
      <c r="E71" s="80">
        <f t="shared" si="15"/>
        <v>231960.46</v>
      </c>
      <c r="F71" s="80">
        <f t="shared" si="15"/>
        <v>231960.46</v>
      </c>
      <c r="G71" s="80">
        <f t="shared" si="15"/>
        <v>8758299.3000000007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8990259.7600000016</v>
      </c>
      <c r="D74" s="80">
        <v>8990259.7600000016</v>
      </c>
      <c r="E74" s="80">
        <v>231960.46</v>
      </c>
      <c r="F74" s="80">
        <v>231960.46</v>
      </c>
      <c r="G74" s="80">
        <f t="shared" si="16"/>
        <v>8758299.3000000007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172598064.80000001</v>
      </c>
      <c r="C84" s="79">
        <f t="shared" ref="C84:G84" si="19">SUM(C85,C93,C103,C113,C123,C133,C137,C146,C150)</f>
        <v>-52563634.580000013</v>
      </c>
      <c r="D84" s="79">
        <f t="shared" si="19"/>
        <v>120034430.21999998</v>
      </c>
      <c r="E84" s="79">
        <f t="shared" si="19"/>
        <v>97379616.5</v>
      </c>
      <c r="F84" s="79">
        <f t="shared" si="19"/>
        <v>97379616.5</v>
      </c>
      <c r="G84" s="79">
        <f t="shared" si="19"/>
        <v>22654813.71999998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4000000</v>
      </c>
      <c r="C93" s="80">
        <f t="shared" ref="C93:G93" si="22">SUM(C94:C102)</f>
        <v>43061.600000000108</v>
      </c>
      <c r="D93" s="80">
        <f t="shared" si="22"/>
        <v>4043061.6</v>
      </c>
      <c r="E93" s="80">
        <f t="shared" si="22"/>
        <v>4032373.5900000003</v>
      </c>
      <c r="F93" s="80">
        <f t="shared" si="22"/>
        <v>4032373.5900000003</v>
      </c>
      <c r="G93" s="80">
        <f t="shared" si="22"/>
        <v>10688.010000000002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4000000</v>
      </c>
      <c r="C97" s="80">
        <v>-99346.879999999888</v>
      </c>
      <c r="D97" s="80">
        <v>3900653.12</v>
      </c>
      <c r="E97" s="80">
        <v>3900653.12</v>
      </c>
      <c r="F97" s="80">
        <v>3900653.12</v>
      </c>
      <c r="G97" s="80">
        <f t="shared" si="23"/>
        <v>0</v>
      </c>
    </row>
    <row r="98" spans="1:7" x14ac:dyDescent="0.25">
      <c r="A98" s="42" t="s">
        <v>299</v>
      </c>
      <c r="B98" s="80">
        <v>0</v>
      </c>
      <c r="C98" s="80">
        <v>81464.479999999996</v>
      </c>
      <c r="D98" s="80">
        <v>81464.479999999996</v>
      </c>
      <c r="E98" s="80">
        <v>81464.479999999996</v>
      </c>
      <c r="F98" s="80">
        <v>81464.479999999996</v>
      </c>
      <c r="G98" s="80">
        <f t="shared" si="23"/>
        <v>0</v>
      </c>
    </row>
    <row r="99" spans="1:7" x14ac:dyDescent="0.25">
      <c r="A99" s="84" t="s">
        <v>300</v>
      </c>
      <c r="B99" s="80">
        <v>0</v>
      </c>
      <c r="C99" s="80">
        <v>45864</v>
      </c>
      <c r="D99" s="80">
        <v>45864</v>
      </c>
      <c r="E99" s="80">
        <v>35175.99</v>
      </c>
      <c r="F99" s="80">
        <v>35175.99</v>
      </c>
      <c r="G99" s="80">
        <f t="shared" si="23"/>
        <v>10688.010000000002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0</v>
      </c>
      <c r="C102" s="80">
        <v>15080</v>
      </c>
      <c r="D102" s="80">
        <v>15080</v>
      </c>
      <c r="E102" s="80">
        <v>15080</v>
      </c>
      <c r="F102" s="80">
        <v>15080</v>
      </c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4000000</v>
      </c>
      <c r="C123" s="80">
        <f t="shared" ref="C123:G123" si="28">SUM(C124:C132)</f>
        <v>-363314.77</v>
      </c>
      <c r="D123" s="80">
        <f t="shared" si="28"/>
        <v>3636685.23</v>
      </c>
      <c r="E123" s="80">
        <f t="shared" si="28"/>
        <v>3636685.18</v>
      </c>
      <c r="F123" s="80">
        <f t="shared" si="28"/>
        <v>3636685.18</v>
      </c>
      <c r="G123" s="80">
        <f t="shared" si="28"/>
        <v>4.9999999813735485E-2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4000000</v>
      </c>
      <c r="C129" s="80">
        <v>-363314.77</v>
      </c>
      <c r="D129" s="80">
        <v>3636685.23</v>
      </c>
      <c r="E129" s="80">
        <v>3636685.18</v>
      </c>
      <c r="F129" s="80">
        <v>3636685.18</v>
      </c>
      <c r="G129" s="80">
        <f t="shared" si="29"/>
        <v>4.9999999813735485E-2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164598064.80000001</v>
      </c>
      <c r="C133" s="80">
        <f t="shared" ref="C133:G133" si="30">SUM(C134:C136)</f>
        <v>-52243381.410000011</v>
      </c>
      <c r="D133" s="80">
        <f t="shared" si="30"/>
        <v>112354683.38999999</v>
      </c>
      <c r="E133" s="80">
        <f t="shared" si="30"/>
        <v>89710557.730000004</v>
      </c>
      <c r="F133" s="80">
        <f t="shared" si="30"/>
        <v>89710557.730000004</v>
      </c>
      <c r="G133" s="80">
        <f t="shared" si="30"/>
        <v>22644125.659999982</v>
      </c>
    </row>
    <row r="134" spans="1:7" x14ac:dyDescent="0.25">
      <c r="A134" s="84" t="s">
        <v>335</v>
      </c>
      <c r="B134" s="80">
        <v>144481931.65000001</v>
      </c>
      <c r="C134" s="80">
        <v>-42903350.840000018</v>
      </c>
      <c r="D134" s="80">
        <v>101578580.80999999</v>
      </c>
      <c r="E134" s="80">
        <v>79460393.400000006</v>
      </c>
      <c r="F134" s="80">
        <v>79460393.400000006</v>
      </c>
      <c r="G134" s="80">
        <f>D134-E134</f>
        <v>22118187.409999982</v>
      </c>
    </row>
    <row r="135" spans="1:7" x14ac:dyDescent="0.25">
      <c r="A135" s="84" t="s">
        <v>336</v>
      </c>
      <c r="B135" s="80">
        <v>20116133.149999995</v>
      </c>
      <c r="C135" s="80">
        <v>-9340030.5699999947</v>
      </c>
      <c r="D135" s="80">
        <v>10776102.58</v>
      </c>
      <c r="E135" s="80">
        <v>10250164.330000002</v>
      </c>
      <c r="F135" s="80">
        <v>10250164.330000002</v>
      </c>
      <c r="G135" s="80">
        <f t="shared" ref="G135:G136" si="31">D135-E135</f>
        <v>525938.24999999814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3293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820567681.25407314</v>
      </c>
      <c r="C159" s="79">
        <f t="shared" ref="C159:G159" si="38">C9+C84</f>
        <v>154001008.70327491</v>
      </c>
      <c r="D159" s="79">
        <f t="shared" si="38"/>
        <v>974568689.95734811</v>
      </c>
      <c r="E159" s="79">
        <f t="shared" si="38"/>
        <v>662783899.90799999</v>
      </c>
      <c r="F159" s="79">
        <f t="shared" si="38"/>
        <v>662783899.90799999</v>
      </c>
      <c r="G159" s="79">
        <f t="shared" si="38"/>
        <v>311784790.04934794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 enableFormatConditionsCalculation="0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647969616.45407319</v>
      </c>
      <c r="Q2" s="18">
        <f>'Formato 6 a)'!C9</f>
        <v>206564643.28327492</v>
      </c>
      <c r="R2" s="18">
        <f>'Formato 6 a)'!D9</f>
        <v>854534259.73734808</v>
      </c>
      <c r="S2" s="18">
        <f>'Formato 6 a)'!E9</f>
        <v>565404283.40799999</v>
      </c>
      <c r="T2" s="18">
        <f>'Formato 6 a)'!F9</f>
        <v>565404283.40799999</v>
      </c>
      <c r="U2" s="18">
        <f>'Formato 6 a)'!G9</f>
        <v>289129976.32934797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118296814.69407302</v>
      </c>
      <c r="Q3" s="18">
        <f>'Formato 6 a)'!C10</f>
        <v>4.2698322795331478E-4</v>
      </c>
      <c r="R3" s="18">
        <f>'Formato 6 a)'!D10</f>
        <v>118296814.69450001</v>
      </c>
      <c r="S3" s="18">
        <f>'Formato 6 a)'!E10</f>
        <v>111229441.93000001</v>
      </c>
      <c r="T3" s="18">
        <f>'Formato 6 a)'!F10</f>
        <v>111229441.93000001</v>
      </c>
      <c r="U3" s="18">
        <f>'Formato 6 a)'!G10</f>
        <v>7067372.7644999959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82703455.549999997</v>
      </c>
      <c r="Q4" s="18">
        <f>'Formato 6 a)'!C11</f>
        <v>-203489.31000000238</v>
      </c>
      <c r="R4" s="18">
        <f>'Formato 6 a)'!D11</f>
        <v>82499966.239999995</v>
      </c>
      <c r="S4" s="18">
        <f>'Formato 6 a)'!E11</f>
        <v>79407120.120000005</v>
      </c>
      <c r="T4" s="18">
        <f>'Formato 6 a)'!F11</f>
        <v>79407120.120000005</v>
      </c>
      <c r="U4" s="18">
        <f>'Formato 6 a)'!G11</f>
        <v>3092846.1199999899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12651930.680000002</v>
      </c>
      <c r="Q6" s="18">
        <f>'Formato 6 a)'!C13</f>
        <v>905991.42999999411</v>
      </c>
      <c r="R6" s="18">
        <f>'Formato 6 a)'!D13</f>
        <v>13557922.109999996</v>
      </c>
      <c r="S6" s="18">
        <f>'Formato 6 a)'!E13</f>
        <v>12163528.560000001</v>
      </c>
      <c r="T6" s="18">
        <f>'Formato 6 a)'!F13</f>
        <v>12163528.560000001</v>
      </c>
      <c r="U6" s="18">
        <f>'Formato 6 a)'!G13</f>
        <v>1394393.5499999952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21309353.604073022</v>
      </c>
      <c r="Q7" s="18">
        <f>'Formato 6 a)'!C14</f>
        <v>-1202502.1195730083</v>
      </c>
      <c r="R7" s="18">
        <f>'Formato 6 a)'!D14</f>
        <v>20106851.484500013</v>
      </c>
      <c r="S7" s="18">
        <f>'Formato 6 a)'!E14</f>
        <v>17954314.790000003</v>
      </c>
      <c r="T7" s="18">
        <f>'Formato 6 a)'!F14</f>
        <v>17954314.790000003</v>
      </c>
      <c r="U7" s="18">
        <f>'Formato 6 a)'!G14</f>
        <v>2152536.6945000105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1627074.86</v>
      </c>
      <c r="Q8" s="18">
        <f>'Formato 6 a)'!C15</f>
        <v>499999.99999999977</v>
      </c>
      <c r="R8" s="18">
        <f>'Formato 6 a)'!D15</f>
        <v>2127074.86</v>
      </c>
      <c r="S8" s="18">
        <f>'Formato 6 a)'!E15</f>
        <v>1704478.46</v>
      </c>
      <c r="T8" s="18">
        <f>'Formato 6 a)'!F15</f>
        <v>1704478.46</v>
      </c>
      <c r="U8" s="18">
        <f>'Formato 6 a)'!G15</f>
        <v>422596.39999999991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5000</v>
      </c>
      <c r="Q9" s="18">
        <f>'Formato 6 a)'!C16</f>
        <v>0</v>
      </c>
      <c r="R9" s="18">
        <f>'Formato 6 a)'!D16</f>
        <v>5000</v>
      </c>
      <c r="S9" s="18">
        <f>'Formato 6 a)'!E16</f>
        <v>0</v>
      </c>
      <c r="T9" s="18">
        <f>'Formato 6 a)'!F16</f>
        <v>0</v>
      </c>
      <c r="U9" s="18">
        <f>'Formato 6 a)'!G16</f>
        <v>5000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83783120.520000011</v>
      </c>
      <c r="Q11" s="18">
        <f>'Formato 6 a)'!C18</f>
        <v>-14250360.210000012</v>
      </c>
      <c r="R11" s="18">
        <f>'Formato 6 a)'!D18</f>
        <v>69532760.310000002</v>
      </c>
      <c r="S11" s="18">
        <f>'Formato 6 a)'!E18</f>
        <v>55510489.828000009</v>
      </c>
      <c r="T11" s="18">
        <f>'Formato 6 a)'!F18</f>
        <v>55510489.828000009</v>
      </c>
      <c r="U11" s="18">
        <f>'Formato 6 a)'!G18</f>
        <v>14022270.481999991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1587800.7500000002</v>
      </c>
      <c r="Q12" s="18">
        <f>'Formato 6 a)'!C19</f>
        <v>-277249.76000000047</v>
      </c>
      <c r="R12" s="18">
        <f>'Formato 6 a)'!D19</f>
        <v>1310550.9899999998</v>
      </c>
      <c r="S12" s="18">
        <f>'Formato 6 a)'!E19</f>
        <v>1108623.7000000004</v>
      </c>
      <c r="T12" s="18">
        <f>'Formato 6 a)'!F19</f>
        <v>1108623.7000000004</v>
      </c>
      <c r="U12" s="18">
        <f>'Formato 6 a)'!G19</f>
        <v>201927.28999999934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364012.14</v>
      </c>
      <c r="Q13" s="18">
        <f>'Formato 6 a)'!C20</f>
        <v>-151858.34</v>
      </c>
      <c r="R13" s="18">
        <f>'Formato 6 a)'!D20</f>
        <v>212153.80000000002</v>
      </c>
      <c r="S13" s="18">
        <f>'Formato 6 a)'!E20</f>
        <v>151617.53000000003</v>
      </c>
      <c r="T13" s="18">
        <f>'Formato 6 a)'!F20</f>
        <v>151617.53000000003</v>
      </c>
      <c r="U13" s="18">
        <f>'Formato 6 a)'!G20</f>
        <v>60536.26999999999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29084003.93</v>
      </c>
      <c r="Q15" s="18">
        <f>'Formato 6 a)'!C22</f>
        <v>-1132987.5000000075</v>
      </c>
      <c r="R15" s="18">
        <f>'Formato 6 a)'!D22</f>
        <v>27951016.429999992</v>
      </c>
      <c r="S15" s="18">
        <f>'Formato 6 a)'!E22</f>
        <v>20633380.630000003</v>
      </c>
      <c r="T15" s="18">
        <f>'Formato 6 a)'!F22</f>
        <v>20633380.630000003</v>
      </c>
      <c r="U15" s="18">
        <f>'Formato 6 a)'!G22</f>
        <v>7317635.7999999896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38751266.740000002</v>
      </c>
      <c r="Q16" s="18">
        <f>'Formato 6 a)'!C23</f>
        <v>-10376581.080000002</v>
      </c>
      <c r="R16" s="18">
        <f>'Formato 6 a)'!D23</f>
        <v>28374685.66</v>
      </c>
      <c r="S16" s="18">
        <f>'Formato 6 a)'!E23</f>
        <v>23330245.57</v>
      </c>
      <c r="T16" s="18">
        <f>'Formato 6 a)'!F23</f>
        <v>23330245.57</v>
      </c>
      <c r="U16" s="18">
        <f>'Formato 6 a)'!G23</f>
        <v>5044440.09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10101370.370000001</v>
      </c>
      <c r="Q17" s="18">
        <f>'Formato 6 a)'!C24</f>
        <v>-2445528.8599999994</v>
      </c>
      <c r="R17" s="18">
        <f>'Formato 6 a)'!D24</f>
        <v>7655841.5100000016</v>
      </c>
      <c r="S17" s="18">
        <f>'Formato 6 a)'!E24</f>
        <v>6927027.527999999</v>
      </c>
      <c r="T17" s="18">
        <f>'Formato 6 a)'!F24</f>
        <v>6927027.527999999</v>
      </c>
      <c r="U17" s="18">
        <f>'Formato 6 a)'!G24</f>
        <v>728813.98200000264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1940410.02</v>
      </c>
      <c r="Q18" s="18">
        <f>'Formato 6 a)'!C25</f>
        <v>-94530.960000000196</v>
      </c>
      <c r="R18" s="18">
        <f>'Formato 6 a)'!D25</f>
        <v>1845879.0599999998</v>
      </c>
      <c r="S18" s="18">
        <f>'Formato 6 a)'!E25</f>
        <v>1646125.67</v>
      </c>
      <c r="T18" s="18">
        <f>'Formato 6 a)'!F25</f>
        <v>1646125.67</v>
      </c>
      <c r="U18" s="18">
        <f>'Formato 6 a)'!G25</f>
        <v>199753.3899999999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1954256.5700000003</v>
      </c>
      <c r="Q20" s="18">
        <f>'Formato 6 a)'!C27</f>
        <v>228376.29000000004</v>
      </c>
      <c r="R20" s="18">
        <f>'Formato 6 a)'!D27</f>
        <v>2182632.8600000003</v>
      </c>
      <c r="S20" s="18">
        <f>'Formato 6 a)'!E27</f>
        <v>1713469.1999999997</v>
      </c>
      <c r="T20" s="18">
        <f>'Formato 6 a)'!F27</f>
        <v>1713469.1999999997</v>
      </c>
      <c r="U20" s="18">
        <f>'Formato 6 a)'!G27</f>
        <v>469163.66000000061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139719573.09999999</v>
      </c>
      <c r="Q21" s="18">
        <f>'Formato 6 a)'!C28</f>
        <v>5164139.3699999843</v>
      </c>
      <c r="R21" s="18">
        <f>'Formato 6 a)'!D28</f>
        <v>144883712.47</v>
      </c>
      <c r="S21" s="18">
        <f>'Formato 6 a)'!E28</f>
        <v>135702512.24000001</v>
      </c>
      <c r="T21" s="18">
        <f>'Formato 6 a)'!F28</f>
        <v>135702512.24000001</v>
      </c>
      <c r="U21" s="18">
        <f>'Formato 6 a)'!G28</f>
        <v>9181200.2299999818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80760468.25</v>
      </c>
      <c r="Q22" s="18">
        <f>'Formato 6 a)'!C29</f>
        <v>2517859.9799999893</v>
      </c>
      <c r="R22" s="18">
        <f>'Formato 6 a)'!D29</f>
        <v>83278328.229999989</v>
      </c>
      <c r="S22" s="18">
        <f>'Formato 6 a)'!E29</f>
        <v>81260718.63000001</v>
      </c>
      <c r="T22" s="18">
        <f>'Formato 6 a)'!F29</f>
        <v>81260718.63000001</v>
      </c>
      <c r="U22" s="18">
        <f>'Formato 6 a)'!G29</f>
        <v>2017609.5999999791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3808682.9899999998</v>
      </c>
      <c r="Q23" s="18">
        <f>'Formato 6 a)'!C30</f>
        <v>-1564275.4999999995</v>
      </c>
      <c r="R23" s="18">
        <f>'Formato 6 a)'!D30</f>
        <v>2244407.4900000002</v>
      </c>
      <c r="S23" s="18">
        <f>'Formato 6 a)'!E30</f>
        <v>1180299.6299999999</v>
      </c>
      <c r="T23" s="18">
        <f>'Formato 6 a)'!F30</f>
        <v>1180299.6299999999</v>
      </c>
      <c r="U23" s="18">
        <f>'Formato 6 a)'!G30</f>
        <v>1064107.8600000003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7406208.5099999998</v>
      </c>
      <c r="Q24" s="18">
        <f>'Formato 6 a)'!C31</f>
        <v>182722.1099999994</v>
      </c>
      <c r="R24" s="18">
        <f>'Formato 6 a)'!D31</f>
        <v>7588930.6199999992</v>
      </c>
      <c r="S24" s="18">
        <f>'Formato 6 a)'!E31</f>
        <v>5492206.7499999991</v>
      </c>
      <c r="T24" s="18">
        <f>'Formato 6 a)'!F31</f>
        <v>5492206.7499999991</v>
      </c>
      <c r="U24" s="18">
        <f>'Formato 6 a)'!G31</f>
        <v>2096723.87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4472431.82</v>
      </c>
      <c r="Q25" s="18">
        <f>'Formato 6 a)'!C32</f>
        <v>-101201.5700000003</v>
      </c>
      <c r="R25" s="18">
        <f>'Formato 6 a)'!D32</f>
        <v>4371230.25</v>
      </c>
      <c r="S25" s="18">
        <f>'Formato 6 a)'!E32</f>
        <v>3694421.26</v>
      </c>
      <c r="T25" s="18">
        <f>'Formato 6 a)'!F32</f>
        <v>3694421.26</v>
      </c>
      <c r="U25" s="18">
        <f>'Formato 6 a)'!G32</f>
        <v>676808.99000000022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10923319.480000002</v>
      </c>
      <c r="Q26" s="18">
        <f>'Formato 6 a)'!C33</f>
        <v>1408936.4299999978</v>
      </c>
      <c r="R26" s="18">
        <f>'Formato 6 a)'!D33</f>
        <v>12332255.91</v>
      </c>
      <c r="S26" s="18">
        <f>'Formato 6 a)'!E33</f>
        <v>11487626.959999999</v>
      </c>
      <c r="T26" s="18">
        <f>'Formato 6 a)'!F33</f>
        <v>11487626.959999999</v>
      </c>
      <c r="U26" s="18">
        <f>'Formato 6 a)'!G33</f>
        <v>844628.95000000112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2435649</v>
      </c>
      <c r="Q27" s="18">
        <f>'Formato 6 a)'!C34</f>
        <v>99500</v>
      </c>
      <c r="R27" s="18">
        <f>'Formato 6 a)'!D34</f>
        <v>2535149</v>
      </c>
      <c r="S27" s="18">
        <f>'Formato 6 a)'!E34</f>
        <v>2472522.0499999998</v>
      </c>
      <c r="T27" s="18">
        <f>'Formato 6 a)'!F34</f>
        <v>2472522.0499999998</v>
      </c>
      <c r="U27" s="18">
        <f>'Formato 6 a)'!G34</f>
        <v>62626.950000000186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219271.07000000004</v>
      </c>
      <c r="Q28" s="18">
        <f>'Formato 6 a)'!C35</f>
        <v>-170070.67000000004</v>
      </c>
      <c r="R28" s="18">
        <f>'Formato 6 a)'!D35</f>
        <v>49200.4</v>
      </c>
      <c r="S28" s="18">
        <f>'Formato 6 a)'!E35</f>
        <v>7342.35</v>
      </c>
      <c r="T28" s="18">
        <f>'Formato 6 a)'!F35</f>
        <v>7342.35</v>
      </c>
      <c r="U28" s="18">
        <f>'Formato 6 a)'!G35</f>
        <v>41858.050000000003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379956.33999999997</v>
      </c>
      <c r="Q29" s="18">
        <f>'Formato 6 a)'!C36</f>
        <v>-193882.50999999995</v>
      </c>
      <c r="R29" s="18">
        <f>'Formato 6 a)'!D36</f>
        <v>186073.83000000002</v>
      </c>
      <c r="S29" s="18">
        <f>'Formato 6 a)'!E36</f>
        <v>153440.12000000002</v>
      </c>
      <c r="T29" s="18">
        <f>'Formato 6 a)'!F36</f>
        <v>153440.12000000002</v>
      </c>
      <c r="U29" s="18">
        <f>'Formato 6 a)'!G36</f>
        <v>32633.709999999992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29313585.640000004</v>
      </c>
      <c r="Q30" s="18">
        <f>'Formato 6 a)'!C37</f>
        <v>2984551.0999999978</v>
      </c>
      <c r="R30" s="18">
        <f>'Formato 6 a)'!D37</f>
        <v>32298136.740000002</v>
      </c>
      <c r="S30" s="18">
        <f>'Formato 6 a)'!E37</f>
        <v>29953934.490000002</v>
      </c>
      <c r="T30" s="18">
        <f>'Formato 6 a)'!F37</f>
        <v>29953934.490000002</v>
      </c>
      <c r="U30" s="18">
        <f>'Formato 6 a)'!G37</f>
        <v>2344202.25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746418.09999999986</v>
      </c>
      <c r="Q31" s="18">
        <f>'Formato 6 a)'!C38</f>
        <v>1228670</v>
      </c>
      <c r="R31" s="18">
        <f>'Formato 6 a)'!D38</f>
        <v>1975088.1</v>
      </c>
      <c r="S31" s="18">
        <f>'Formato 6 a)'!E38</f>
        <v>1899670</v>
      </c>
      <c r="T31" s="18">
        <f>'Formato 6 a)'!F38</f>
        <v>1899670</v>
      </c>
      <c r="U31" s="18">
        <f>'Formato 6 a)'!G38</f>
        <v>75418.100000000006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197418.1</v>
      </c>
      <c r="Q35" s="18">
        <f>'Formato 6 a)'!C42</f>
        <v>-22330</v>
      </c>
      <c r="R35" s="18">
        <f>'Formato 6 a)'!D42</f>
        <v>175088.1</v>
      </c>
      <c r="S35" s="18">
        <f>'Formato 6 a)'!E42</f>
        <v>99670</v>
      </c>
      <c r="T35" s="18">
        <f>'Formato 6 a)'!F42</f>
        <v>99670</v>
      </c>
      <c r="U35" s="18">
        <f>'Formato 6 a)'!G42</f>
        <v>75418.100000000006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548999.99999999988</v>
      </c>
      <c r="Q39" s="18">
        <f>'Formato 6 a)'!C46</f>
        <v>1251000</v>
      </c>
      <c r="R39" s="18">
        <f>'Formato 6 a)'!D46</f>
        <v>1800000</v>
      </c>
      <c r="S39" s="18">
        <f>'Formato 6 a)'!E46</f>
        <v>1800000</v>
      </c>
      <c r="T39" s="18">
        <f>'Formato 6 a)'!F46</f>
        <v>1800000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25971180.350000001</v>
      </c>
      <c r="Q41" s="18">
        <f>'Formato 6 a)'!C48</f>
        <v>13074316.639999999</v>
      </c>
      <c r="R41" s="18">
        <f>'Formato 6 a)'!D48</f>
        <v>39045496.989999995</v>
      </c>
      <c r="S41" s="18">
        <f>'Formato 6 a)'!E48</f>
        <v>24610942.259999998</v>
      </c>
      <c r="T41" s="18">
        <f>'Formato 6 a)'!F48</f>
        <v>24610942.259999998</v>
      </c>
      <c r="U41" s="18">
        <f>'Formato 6 a)'!G48</f>
        <v>14434554.73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326980.34999999998</v>
      </c>
      <c r="Q42" s="18">
        <f>'Formato 6 a)'!C49</f>
        <v>2106307.6399999997</v>
      </c>
      <c r="R42" s="18">
        <f>'Formato 6 a)'!D49</f>
        <v>2433287.9899999998</v>
      </c>
      <c r="S42" s="18">
        <f>'Formato 6 a)'!E49</f>
        <v>1757124.2799999998</v>
      </c>
      <c r="T42" s="18">
        <f>'Formato 6 a)'!F49</f>
        <v>1757124.2799999998</v>
      </c>
      <c r="U42" s="18">
        <f>'Formato 6 a)'!G49</f>
        <v>676163.71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77700</v>
      </c>
      <c r="Q43" s="18">
        <f>'Formato 6 a)'!C50</f>
        <v>-68480</v>
      </c>
      <c r="R43" s="18">
        <f>'Formato 6 a)'!D50</f>
        <v>9220</v>
      </c>
      <c r="S43" s="18">
        <f>'Formato 6 a)'!E50</f>
        <v>9220</v>
      </c>
      <c r="T43" s="18">
        <f>'Formato 6 a)'!F50</f>
        <v>9220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360000</v>
      </c>
      <c r="Q45" s="18">
        <f>'Formato 6 a)'!C52</f>
        <v>489162.6</v>
      </c>
      <c r="R45" s="18">
        <f>'Formato 6 a)'!D52</f>
        <v>849162.6</v>
      </c>
      <c r="S45" s="18">
        <f>'Formato 6 a)'!E52</f>
        <v>849162.6</v>
      </c>
      <c r="T45" s="18">
        <f>'Formato 6 a)'!F52</f>
        <v>849162.6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24199000</v>
      </c>
      <c r="Q47" s="18">
        <f>'Formato 6 a)'!C54</f>
        <v>9551636.3999999985</v>
      </c>
      <c r="R47" s="18">
        <f>'Formato 6 a)'!D54</f>
        <v>33750636.399999999</v>
      </c>
      <c r="S47" s="18">
        <f>'Formato 6 a)'!E54</f>
        <v>21642745.379999999</v>
      </c>
      <c r="T47" s="18">
        <f>'Formato 6 a)'!F54</f>
        <v>21642745.379999999</v>
      </c>
      <c r="U47" s="18">
        <f>'Formato 6 a)'!G54</f>
        <v>12107891.02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999999.99999999988</v>
      </c>
      <c r="Q49" s="18">
        <f>'Formato 6 a)'!C56</f>
        <v>1000000.0000000001</v>
      </c>
      <c r="R49" s="18">
        <f>'Formato 6 a)'!D56</f>
        <v>2000000</v>
      </c>
      <c r="S49" s="18">
        <f>'Formato 6 a)'!E56</f>
        <v>349500</v>
      </c>
      <c r="T49" s="18">
        <f>'Formato 6 a)'!F56</f>
        <v>349500</v>
      </c>
      <c r="U49" s="18">
        <f>'Formato 6 a)'!G56</f>
        <v>1650500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7500</v>
      </c>
      <c r="Q50" s="18">
        <f>'Formato 6 a)'!C57</f>
        <v>-4310</v>
      </c>
      <c r="R50" s="18">
        <f>'Formato 6 a)'!D57</f>
        <v>3190</v>
      </c>
      <c r="S50" s="18">
        <f>'Formato 6 a)'!E57</f>
        <v>3190</v>
      </c>
      <c r="T50" s="18">
        <f>'Formato 6 a)'!F57</f>
        <v>3190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226589861.25</v>
      </c>
      <c r="Q51" s="18">
        <f>'Formato 6 a)'!C58</f>
        <v>-4851186.4800000042</v>
      </c>
      <c r="R51" s="18">
        <f>'Formato 6 a)'!D58</f>
        <v>221738674.76999998</v>
      </c>
      <c r="S51" s="18">
        <f>'Formato 6 a)'!E58</f>
        <v>176525835.42999998</v>
      </c>
      <c r="T51" s="18">
        <f>'Formato 6 a)'!F58</f>
        <v>176525835.42999998</v>
      </c>
      <c r="U51" s="18">
        <f>'Formato 6 a)'!G58</f>
        <v>45212839.340000004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201371264.06999999</v>
      </c>
      <c r="Q52" s="18">
        <f>'Formato 6 a)'!C59</f>
        <v>6214352.6299999952</v>
      </c>
      <c r="R52" s="18">
        <f>'Formato 6 a)'!D59</f>
        <v>207585616.69999999</v>
      </c>
      <c r="S52" s="18">
        <f>'Formato 6 a)'!E59</f>
        <v>166431399.38999999</v>
      </c>
      <c r="T52" s="18">
        <f>'Formato 6 a)'!F59</f>
        <v>166431399.38999999</v>
      </c>
      <c r="U52" s="18">
        <f>'Formato 6 a)'!G59</f>
        <v>41154217.310000002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25218597.18</v>
      </c>
      <c r="Q53" s="18">
        <f>'Formato 6 a)'!C60</f>
        <v>-11065539.109999999</v>
      </c>
      <c r="R53" s="18">
        <f>'Formato 6 a)'!D60</f>
        <v>14153058.07</v>
      </c>
      <c r="S53" s="18">
        <f>'Formato 6 a)'!E60</f>
        <v>10094436.039999999</v>
      </c>
      <c r="T53" s="18">
        <f>'Formato 6 a)'!F60</f>
        <v>10094436.039999999</v>
      </c>
      <c r="U53" s="18">
        <f>'Formato 6 a)'!G60</f>
        <v>4058622.0300000012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52862648.439999998</v>
      </c>
      <c r="Q55" s="18">
        <f>'Formato 6 a)'!C62</f>
        <v>197208804.20284799</v>
      </c>
      <c r="R55" s="18">
        <f>'Formato 6 a)'!D62</f>
        <v>250071452.64284799</v>
      </c>
      <c r="S55" s="18">
        <f>'Formato 6 a)'!E62</f>
        <v>59693431.260000005</v>
      </c>
      <c r="T55" s="18">
        <f>'Formato 6 a)'!F62</f>
        <v>59693431.260000005</v>
      </c>
      <c r="U55" s="18">
        <f>'Formato 6 a)'!G62</f>
        <v>190378021.38284796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52862648.439999998</v>
      </c>
      <c r="Q59" s="18">
        <f>'Formato 6 a)'!C66</f>
        <v>15115351.560000002</v>
      </c>
      <c r="R59" s="18">
        <f>'Formato 6 a)'!D66</f>
        <v>67978000</v>
      </c>
      <c r="S59" s="18">
        <f>'Formato 6 a)'!E66</f>
        <v>59693431.260000005</v>
      </c>
      <c r="T59" s="18">
        <f>'Formato 6 a)'!F66</f>
        <v>59693431.260000005</v>
      </c>
      <c r="U59" s="18">
        <f>'Formato 6 a)'!G66</f>
        <v>8284568.7399999946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182093452.64284799</v>
      </c>
      <c r="R63" s="18">
        <f>'Formato 6 a)'!D70</f>
        <v>182093452.64284799</v>
      </c>
      <c r="S63" s="18">
        <f>'Formato 6 a)'!E70</f>
        <v>0</v>
      </c>
      <c r="T63" s="18">
        <f>'Formato 6 a)'!F70</f>
        <v>0</v>
      </c>
      <c r="U63" s="18">
        <f>'Formato 6 a)'!G70</f>
        <v>182093452.64284799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8990259.7600000016</v>
      </c>
      <c r="R64" s="18">
        <f>'Formato 6 a)'!D71</f>
        <v>8990259.7600000016</v>
      </c>
      <c r="S64" s="18">
        <f>'Formato 6 a)'!E71</f>
        <v>231960.46</v>
      </c>
      <c r="T64" s="18">
        <f>'Formato 6 a)'!F71</f>
        <v>231960.46</v>
      </c>
      <c r="U64" s="18">
        <f>'Formato 6 a)'!G71</f>
        <v>8758299.3000000007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8990259.7600000016</v>
      </c>
      <c r="R67" s="18">
        <f>'Formato 6 a)'!D74</f>
        <v>8990259.7600000016</v>
      </c>
      <c r="S67" s="18">
        <f>'Formato 6 a)'!E74</f>
        <v>231960.46</v>
      </c>
      <c r="T67" s="18">
        <f>'Formato 6 a)'!F74</f>
        <v>231960.46</v>
      </c>
      <c r="U67" s="18">
        <f>'Formato 6 a)'!G74</f>
        <v>8758299.3000000007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172598064.80000001</v>
      </c>
      <c r="Q76">
        <f>'Formato 6 a)'!C84</f>
        <v>-52563634.580000013</v>
      </c>
      <c r="R76">
        <f>'Formato 6 a)'!D84</f>
        <v>120034430.21999998</v>
      </c>
      <c r="S76">
        <f>'Formato 6 a)'!E84</f>
        <v>97379616.5</v>
      </c>
      <c r="T76">
        <f>'Formato 6 a)'!F84</f>
        <v>97379616.5</v>
      </c>
      <c r="U76">
        <f>'Formato 6 a)'!G84</f>
        <v>22654813.71999998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4000000</v>
      </c>
      <c r="Q85">
        <f>'Formato 6 a)'!C93</f>
        <v>43061.600000000108</v>
      </c>
      <c r="R85">
        <f>'Formato 6 a)'!D93</f>
        <v>4043061.6</v>
      </c>
      <c r="S85">
        <f>'Formato 6 a)'!E93</f>
        <v>4032373.5900000003</v>
      </c>
      <c r="T85">
        <f>'Formato 6 a)'!F93</f>
        <v>4032373.5900000003</v>
      </c>
      <c r="U85">
        <f>'Formato 6 a)'!G93</f>
        <v>10688.010000000002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4000000</v>
      </c>
      <c r="Q89">
        <f>'Formato 6 a)'!C97</f>
        <v>-99346.879999999888</v>
      </c>
      <c r="R89">
        <f>'Formato 6 a)'!D97</f>
        <v>3900653.12</v>
      </c>
      <c r="S89">
        <f>'Formato 6 a)'!E97</f>
        <v>3900653.12</v>
      </c>
      <c r="T89">
        <f>'Formato 6 a)'!F97</f>
        <v>3900653.12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81464.479999999996</v>
      </c>
      <c r="R90">
        <f>'Formato 6 a)'!D98</f>
        <v>81464.479999999996</v>
      </c>
      <c r="S90">
        <f>'Formato 6 a)'!E98</f>
        <v>81464.479999999996</v>
      </c>
      <c r="T90">
        <f>'Formato 6 a)'!F98</f>
        <v>81464.479999999996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45864</v>
      </c>
      <c r="R91">
        <f>'Formato 6 a)'!D99</f>
        <v>45864</v>
      </c>
      <c r="S91">
        <f>'Formato 6 a)'!E99</f>
        <v>35175.99</v>
      </c>
      <c r="T91">
        <f>'Formato 6 a)'!F99</f>
        <v>35175.99</v>
      </c>
      <c r="U91">
        <f>'Formato 6 a)'!G99</f>
        <v>10688.010000000002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15080</v>
      </c>
      <c r="R94">
        <f>'Formato 6 a)'!D102</f>
        <v>15080</v>
      </c>
      <c r="S94">
        <f>'Formato 6 a)'!E102</f>
        <v>15080</v>
      </c>
      <c r="T94">
        <f>'Formato 6 a)'!F102</f>
        <v>15080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4000000</v>
      </c>
      <c r="Q115">
        <f>'Formato 6 a)'!C123</f>
        <v>-363314.77</v>
      </c>
      <c r="R115">
        <f>'Formato 6 a)'!D123</f>
        <v>3636685.23</v>
      </c>
      <c r="S115">
        <f>'Formato 6 a)'!E123</f>
        <v>3636685.18</v>
      </c>
      <c r="T115">
        <f>'Formato 6 a)'!F123</f>
        <v>3636685.18</v>
      </c>
      <c r="U115">
        <f>'Formato 6 a)'!G123</f>
        <v>4.9999999813735485E-2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4000000</v>
      </c>
      <c r="Q121">
        <f>'Formato 6 a)'!C129</f>
        <v>-363314.77</v>
      </c>
      <c r="R121">
        <f>'Formato 6 a)'!D129</f>
        <v>3636685.23</v>
      </c>
      <c r="S121">
        <f>'Formato 6 a)'!E129</f>
        <v>3636685.18</v>
      </c>
      <c r="T121">
        <f>'Formato 6 a)'!F129</f>
        <v>3636685.18</v>
      </c>
      <c r="U121">
        <f>'Formato 6 a)'!G129</f>
        <v>4.9999999813735485E-2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164598064.80000001</v>
      </c>
      <c r="Q125">
        <f>'Formato 6 a)'!C133</f>
        <v>-52243381.410000011</v>
      </c>
      <c r="R125">
        <f>'Formato 6 a)'!D133</f>
        <v>112354683.38999999</v>
      </c>
      <c r="S125">
        <f>'Formato 6 a)'!E133</f>
        <v>89710557.730000004</v>
      </c>
      <c r="T125">
        <f>'Formato 6 a)'!F133</f>
        <v>89710557.730000004</v>
      </c>
      <c r="U125">
        <f>'Formato 6 a)'!G133</f>
        <v>22644125.659999982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144481931.65000001</v>
      </c>
      <c r="Q126">
        <f>'Formato 6 a)'!C134</f>
        <v>-42903350.840000018</v>
      </c>
      <c r="R126">
        <f>'Formato 6 a)'!D134</f>
        <v>101578580.80999999</v>
      </c>
      <c r="S126">
        <f>'Formato 6 a)'!E134</f>
        <v>79460393.400000006</v>
      </c>
      <c r="T126">
        <f>'Formato 6 a)'!F134</f>
        <v>79460393.400000006</v>
      </c>
      <c r="U126">
        <f>'Formato 6 a)'!G134</f>
        <v>22118187.409999982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20116133.149999995</v>
      </c>
      <c r="Q127">
        <f>'Formato 6 a)'!C135</f>
        <v>-9340030.5699999947</v>
      </c>
      <c r="R127">
        <f>'Formato 6 a)'!D135</f>
        <v>10776102.58</v>
      </c>
      <c r="S127">
        <f>'Formato 6 a)'!E135</f>
        <v>10250164.330000002</v>
      </c>
      <c r="T127">
        <f>'Formato 6 a)'!F135</f>
        <v>10250164.330000002</v>
      </c>
      <c r="U127">
        <f>'Formato 6 a)'!G135</f>
        <v>525938.24999999814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820567681.25407314</v>
      </c>
      <c r="Q150">
        <f>'Formato 6 a)'!C159</f>
        <v>154001008.70327491</v>
      </c>
      <c r="R150">
        <f>'Formato 6 a)'!D159</f>
        <v>974568689.95734811</v>
      </c>
      <c r="S150">
        <f>'Formato 6 a)'!E159</f>
        <v>662783899.90799999</v>
      </c>
      <c r="T150">
        <f>'Formato 6 a)'!F159</f>
        <v>662783899.90799999</v>
      </c>
      <c r="U150">
        <f>'Formato 6 a)'!G159</f>
        <v>311784790.04934794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/>
  <dimension ref="A1:G105"/>
  <sheetViews>
    <sheetView showGridLines="0" topLeftCell="B1" zoomScale="90" zoomScaleNormal="90" zoomScalePageLayoutView="90" workbookViewId="0">
      <selection activeCell="E70" sqref="E7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3282</v>
      </c>
      <c r="B1" s="172"/>
      <c r="C1" s="172"/>
      <c r="D1" s="172"/>
      <c r="E1" s="172"/>
      <c r="F1" s="172"/>
      <c r="G1" s="172"/>
    </row>
    <row r="2" spans="1:7" x14ac:dyDescent="0.25">
      <c r="A2" s="153" t="str">
        <f>ENTE_PUBLICO_A</f>
        <v>JUNTA DE AGUA POTABLE DRENAJE ALCANTARILLADO Y SANEAMIENTO DEL MUNICIPIO DE IRAPUATO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31 de diciembre de 2020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x14ac:dyDescent="0.25">
      <c r="A9" s="52" t="s">
        <v>432</v>
      </c>
      <c r="B9" s="59">
        <f>SUM(B10:GASTO_NE_FIN_01)</f>
        <v>647969616.45407307</v>
      </c>
      <c r="C9" s="59">
        <f>SUM(C10:GASTO_NE_FIN_02)</f>
        <v>206564643.28327513</v>
      </c>
      <c r="D9" s="59">
        <f>SUM(D10:GASTO_NE_FIN_03)</f>
        <v>854534259.73734808</v>
      </c>
      <c r="E9" s="59">
        <f>SUM(E10:GASTO_NE_FIN_04)</f>
        <v>565404283.40799975</v>
      </c>
      <c r="F9" s="59">
        <f>SUM(F10:GASTO_NE_FIN_05)</f>
        <v>565404283.40799975</v>
      </c>
      <c r="G9" s="59">
        <f>SUM(G10:GASTO_NE_FIN_06)</f>
        <v>289129976.32934809</v>
      </c>
    </row>
    <row r="10" spans="1:7" s="24" customFormat="1" x14ac:dyDescent="0.25">
      <c r="A10" s="144" t="s">
        <v>3297</v>
      </c>
      <c r="B10" s="60">
        <v>2155577.8017499996</v>
      </c>
      <c r="C10" s="60">
        <v>1160977.3200000003</v>
      </c>
      <c r="D10" s="60">
        <v>3316555.1217499999</v>
      </c>
      <c r="E10" s="60">
        <v>3212878.1599999997</v>
      </c>
      <c r="F10" s="60">
        <v>3212878.1599999997</v>
      </c>
      <c r="G10" s="77">
        <f>D10-E10</f>
        <v>103676.96175000025</v>
      </c>
    </row>
    <row r="11" spans="1:7" s="24" customFormat="1" x14ac:dyDescent="0.25">
      <c r="A11" s="144" t="s">
        <v>3298</v>
      </c>
      <c r="B11" s="60">
        <v>2699990.6444199993</v>
      </c>
      <c r="C11" s="60">
        <v>327002.4999966668</v>
      </c>
      <c r="D11" s="60">
        <v>3026993.1444166661</v>
      </c>
      <c r="E11" s="60">
        <v>2965774.5300000003</v>
      </c>
      <c r="F11" s="60">
        <v>2965774.5300000003</v>
      </c>
      <c r="G11" s="77">
        <f t="shared" ref="G11:G54" si="0">D11-E11</f>
        <v>61218.614416665863</v>
      </c>
    </row>
    <row r="12" spans="1:7" s="24" customFormat="1" x14ac:dyDescent="0.25">
      <c r="A12" s="144" t="s">
        <v>3299</v>
      </c>
      <c r="B12" s="60">
        <v>4311550.2868300006</v>
      </c>
      <c r="C12" s="60">
        <v>-120378.36999666691</v>
      </c>
      <c r="D12" s="60">
        <v>4191171.9168333337</v>
      </c>
      <c r="E12" s="60">
        <v>4074907.7099999995</v>
      </c>
      <c r="F12" s="60">
        <v>4074907.7099999995</v>
      </c>
      <c r="G12" s="77">
        <f t="shared" si="0"/>
        <v>116264.20683333417</v>
      </c>
    </row>
    <row r="13" spans="1:7" s="24" customFormat="1" x14ac:dyDescent="0.25">
      <c r="A13" s="144" t="s">
        <v>3300</v>
      </c>
      <c r="B13" s="60">
        <v>54275705.387329996</v>
      </c>
      <c r="C13" s="60">
        <v>15003584.650003344</v>
      </c>
      <c r="D13" s="60">
        <v>69279290.037333339</v>
      </c>
      <c r="E13" s="60">
        <v>60918758.049999997</v>
      </c>
      <c r="F13" s="60">
        <v>60918758.049999997</v>
      </c>
      <c r="G13" s="77">
        <f t="shared" si="0"/>
        <v>8360531.9873333424</v>
      </c>
    </row>
    <row r="14" spans="1:7" s="24" customFormat="1" x14ac:dyDescent="0.25">
      <c r="A14" s="144" t="s">
        <v>3301</v>
      </c>
      <c r="B14" s="60">
        <v>5771394.4863299998</v>
      </c>
      <c r="C14" s="60">
        <v>889244.7100033341</v>
      </c>
      <c r="D14" s="60">
        <v>6660639.1963333338</v>
      </c>
      <c r="E14" s="60">
        <v>6086339.9100000011</v>
      </c>
      <c r="F14" s="60">
        <v>6086339.9100000011</v>
      </c>
      <c r="G14" s="77">
        <f t="shared" si="0"/>
        <v>574299.28633333277</v>
      </c>
    </row>
    <row r="15" spans="1:7" s="24" customFormat="1" x14ac:dyDescent="0.25">
      <c r="A15" s="144" t="s">
        <v>3302</v>
      </c>
      <c r="B15" s="60">
        <v>670915.19150000007</v>
      </c>
      <c r="C15" s="60">
        <v>-9021.589999999851</v>
      </c>
      <c r="D15" s="60">
        <v>661893.60150000022</v>
      </c>
      <c r="E15" s="60">
        <v>643484.19999999995</v>
      </c>
      <c r="F15" s="60">
        <v>643484.19999999995</v>
      </c>
      <c r="G15" s="77">
        <f t="shared" si="0"/>
        <v>18409.401500000269</v>
      </c>
    </row>
    <row r="16" spans="1:7" s="24" customFormat="1" x14ac:dyDescent="0.25">
      <c r="A16" s="144" t="s">
        <v>3303</v>
      </c>
      <c r="B16" s="60">
        <v>2944958.6448300001</v>
      </c>
      <c r="C16" s="60">
        <v>-425908.38999666646</v>
      </c>
      <c r="D16" s="60">
        <v>2519050.2548333337</v>
      </c>
      <c r="E16" s="60">
        <v>2228841.7400000002</v>
      </c>
      <c r="F16" s="60">
        <v>2228841.7400000002</v>
      </c>
      <c r="G16" s="77">
        <f t="shared" si="0"/>
        <v>290208.51483333344</v>
      </c>
    </row>
    <row r="17" spans="1:7" s="24" customFormat="1" x14ac:dyDescent="0.25">
      <c r="A17" s="144" t="s">
        <v>3304</v>
      </c>
      <c r="B17" s="60">
        <v>4485954.9113330003</v>
      </c>
      <c r="C17" s="60">
        <v>27312.190000332892</v>
      </c>
      <c r="D17" s="60">
        <v>4513267.1013333332</v>
      </c>
      <c r="E17" s="60">
        <v>4385834.07</v>
      </c>
      <c r="F17" s="60">
        <v>4385834.07</v>
      </c>
      <c r="G17" s="77">
        <f t="shared" si="0"/>
        <v>127433.03133333288</v>
      </c>
    </row>
    <row r="18" spans="1:7" s="24" customFormat="1" x14ac:dyDescent="0.25">
      <c r="A18" s="144" t="s">
        <v>3305</v>
      </c>
      <c r="B18" s="60">
        <v>1621700.3017499996</v>
      </c>
      <c r="C18" s="60">
        <v>-119003.47999999975</v>
      </c>
      <c r="D18" s="60">
        <v>1502696.8217499999</v>
      </c>
      <c r="E18" s="60">
        <v>1315746.1899999997</v>
      </c>
      <c r="F18" s="60">
        <v>1315746.1899999997</v>
      </c>
      <c r="G18" s="77">
        <f t="shared" si="0"/>
        <v>186950.63175000018</v>
      </c>
    </row>
    <row r="19" spans="1:7" s="24" customFormat="1" x14ac:dyDescent="0.25">
      <c r="A19" s="144" t="s">
        <v>3306</v>
      </c>
      <c r="B19" s="60">
        <v>1966720.0715000003</v>
      </c>
      <c r="C19" s="60">
        <v>-296593.91999999969</v>
      </c>
      <c r="D19" s="60">
        <v>1670126.1515000006</v>
      </c>
      <c r="E19" s="60">
        <v>1577360.95</v>
      </c>
      <c r="F19" s="60">
        <v>1577360.95</v>
      </c>
      <c r="G19" s="77">
        <f t="shared" si="0"/>
        <v>92765.201500000665</v>
      </c>
    </row>
    <row r="20" spans="1:7" s="24" customFormat="1" x14ac:dyDescent="0.25">
      <c r="A20" s="144" t="s">
        <v>3307</v>
      </c>
      <c r="B20" s="60">
        <v>967334.86307999992</v>
      </c>
      <c r="C20" s="60">
        <v>-211846.31999666651</v>
      </c>
      <c r="D20" s="60">
        <v>755488.54308333341</v>
      </c>
      <c r="E20" s="60">
        <v>491012.04000000004</v>
      </c>
      <c r="F20" s="60">
        <v>491012.04000000004</v>
      </c>
      <c r="G20" s="77">
        <f t="shared" si="0"/>
        <v>264476.50308333337</v>
      </c>
    </row>
    <row r="21" spans="1:7" s="24" customFormat="1" x14ac:dyDescent="0.25">
      <c r="A21" s="144" t="s">
        <v>3308</v>
      </c>
      <c r="B21" s="60">
        <v>2155492.0795799997</v>
      </c>
      <c r="C21" s="60">
        <v>-207770.86999666644</v>
      </c>
      <c r="D21" s="60">
        <v>1947721.2095833332</v>
      </c>
      <c r="E21" s="60">
        <v>1859424.6599999992</v>
      </c>
      <c r="F21" s="60">
        <v>1859424.6599999992</v>
      </c>
      <c r="G21" s="77">
        <f t="shared" si="0"/>
        <v>88296.54958333401</v>
      </c>
    </row>
    <row r="22" spans="1:7" s="24" customFormat="1" x14ac:dyDescent="0.25">
      <c r="A22" s="144" t="s">
        <v>3309</v>
      </c>
      <c r="B22" s="60">
        <v>8427285.1999999993</v>
      </c>
      <c r="C22" s="60">
        <v>-192231.98000000138</v>
      </c>
      <c r="D22" s="60">
        <v>8235053.2199999979</v>
      </c>
      <c r="E22" s="60">
        <v>7418785.8700000029</v>
      </c>
      <c r="F22" s="60">
        <v>7418785.8700000029</v>
      </c>
      <c r="G22" s="77">
        <f t="shared" si="0"/>
        <v>816267.34999999497</v>
      </c>
    </row>
    <row r="23" spans="1:7" s="24" customFormat="1" x14ac:dyDescent="0.25">
      <c r="A23" s="144" t="s">
        <v>3310</v>
      </c>
      <c r="B23" s="60">
        <v>8174635.5433300007</v>
      </c>
      <c r="C23" s="60">
        <v>-422548.20999666676</v>
      </c>
      <c r="D23" s="60">
        <v>7752087.333333334</v>
      </c>
      <c r="E23" s="60">
        <v>7294401.7229999993</v>
      </c>
      <c r="F23" s="60">
        <v>7294401.7229999993</v>
      </c>
      <c r="G23" s="77">
        <f t="shared" si="0"/>
        <v>457685.61033333465</v>
      </c>
    </row>
    <row r="24" spans="1:7" s="24" customFormat="1" x14ac:dyDescent="0.25">
      <c r="A24" s="144" t="s">
        <v>3311</v>
      </c>
      <c r="B24" s="60">
        <v>2633604.3075800007</v>
      </c>
      <c r="C24" s="60">
        <v>999553.37000333238</v>
      </c>
      <c r="D24" s="60">
        <v>3633157.6775833331</v>
      </c>
      <c r="E24" s="60">
        <v>2771536.3800000004</v>
      </c>
      <c r="F24" s="60">
        <v>2771536.3800000004</v>
      </c>
      <c r="G24" s="77">
        <f t="shared" si="0"/>
        <v>861621.29758333275</v>
      </c>
    </row>
    <row r="25" spans="1:7" s="24" customFormat="1" x14ac:dyDescent="0.25">
      <c r="A25" s="144" t="s">
        <v>3312</v>
      </c>
      <c r="B25" s="60">
        <v>7015339.3590799998</v>
      </c>
      <c r="C25" s="60">
        <v>3147194.7400033344</v>
      </c>
      <c r="D25" s="60">
        <v>10162534.099083334</v>
      </c>
      <c r="E25" s="60">
        <v>8414713.6600000001</v>
      </c>
      <c r="F25" s="60">
        <v>8414713.6600000001</v>
      </c>
      <c r="G25" s="77">
        <f t="shared" si="0"/>
        <v>1747820.4390833341</v>
      </c>
    </row>
    <row r="26" spans="1:7" s="24" customFormat="1" x14ac:dyDescent="0.25">
      <c r="A26" s="144" t="s">
        <v>3313</v>
      </c>
      <c r="B26" s="60">
        <v>1687636.0984199999</v>
      </c>
      <c r="C26" s="60">
        <v>41175.969996666536</v>
      </c>
      <c r="D26" s="60">
        <v>1728812.0684166665</v>
      </c>
      <c r="E26" s="60">
        <v>1695248.8400000003</v>
      </c>
      <c r="F26" s="60">
        <v>1695248.8400000003</v>
      </c>
      <c r="G26" s="77">
        <f t="shared" si="0"/>
        <v>33563.228416666156</v>
      </c>
    </row>
    <row r="27" spans="1:7" s="24" customFormat="1" x14ac:dyDescent="0.25">
      <c r="A27" s="144" t="s">
        <v>3314</v>
      </c>
      <c r="B27" s="60">
        <v>1944518.5210800003</v>
      </c>
      <c r="C27" s="60">
        <v>670089.31000333326</v>
      </c>
      <c r="D27" s="60">
        <v>2614607.8310833336</v>
      </c>
      <c r="E27" s="60">
        <v>1698325.9999999998</v>
      </c>
      <c r="F27" s="60">
        <v>1698325.9999999998</v>
      </c>
      <c r="G27" s="77">
        <f t="shared" si="0"/>
        <v>916281.83108333382</v>
      </c>
    </row>
    <row r="28" spans="1:7" s="24" customFormat="1" x14ac:dyDescent="0.25">
      <c r="A28" s="144" t="s">
        <v>3315</v>
      </c>
      <c r="B28" s="60">
        <v>2561707.4096700004</v>
      </c>
      <c r="C28" s="60">
        <v>-54755.620003333315</v>
      </c>
      <c r="D28" s="60">
        <v>2506951.7896666671</v>
      </c>
      <c r="E28" s="60">
        <v>2201819.6799999997</v>
      </c>
      <c r="F28" s="60">
        <v>2201819.6799999997</v>
      </c>
      <c r="G28" s="77">
        <f t="shared" si="0"/>
        <v>305132.10966666741</v>
      </c>
    </row>
    <row r="29" spans="1:7" s="24" customFormat="1" x14ac:dyDescent="0.25">
      <c r="A29" s="144" t="s">
        <v>3316</v>
      </c>
      <c r="B29" s="60">
        <v>3937557.2023299988</v>
      </c>
      <c r="C29" s="60">
        <v>84930.0000033346</v>
      </c>
      <c r="D29" s="60">
        <v>4022487.2023333334</v>
      </c>
      <c r="E29" s="60">
        <v>3604735.4999999991</v>
      </c>
      <c r="F29" s="60">
        <v>3604735.4999999991</v>
      </c>
      <c r="G29" s="77">
        <f t="shared" si="0"/>
        <v>417751.70233333437</v>
      </c>
    </row>
    <row r="30" spans="1:7" s="24" customFormat="1" x14ac:dyDescent="0.25">
      <c r="A30" s="144" t="s">
        <v>3317</v>
      </c>
      <c r="B30" s="60">
        <v>1718504.4312499999</v>
      </c>
      <c r="C30" s="60">
        <v>-48391.160000000149</v>
      </c>
      <c r="D30" s="60">
        <v>1670113.2712499998</v>
      </c>
      <c r="E30" s="60">
        <v>1597559.9000000006</v>
      </c>
      <c r="F30" s="60">
        <v>1597559.9000000006</v>
      </c>
      <c r="G30" s="77">
        <f t="shared" si="0"/>
        <v>72553.371249999152</v>
      </c>
    </row>
    <row r="31" spans="1:7" s="24" customFormat="1" x14ac:dyDescent="0.25">
      <c r="A31" s="144" t="s">
        <v>3318</v>
      </c>
      <c r="B31" s="60">
        <v>3191923.0402500005</v>
      </c>
      <c r="C31" s="60">
        <v>-1327.1699999989942</v>
      </c>
      <c r="D31" s="60">
        <v>3190595.8702500015</v>
      </c>
      <c r="E31" s="60">
        <v>2986624.48</v>
      </c>
      <c r="F31" s="60">
        <v>2986624.48</v>
      </c>
      <c r="G31" s="77">
        <f t="shared" si="0"/>
        <v>203971.39025000157</v>
      </c>
    </row>
    <row r="32" spans="1:7" s="24" customFormat="1" x14ac:dyDescent="0.25">
      <c r="A32" s="144" t="s">
        <v>3319</v>
      </c>
      <c r="B32" s="60">
        <v>14597527.275829999</v>
      </c>
      <c r="C32" s="60">
        <v>-1092176.8099966664</v>
      </c>
      <c r="D32" s="60">
        <v>13505350.465833332</v>
      </c>
      <c r="E32" s="60">
        <v>13088620.869999997</v>
      </c>
      <c r="F32" s="60">
        <v>13088620.869999997</v>
      </c>
      <c r="G32" s="77">
        <f t="shared" si="0"/>
        <v>416729.59583333507</v>
      </c>
    </row>
    <row r="33" spans="1:7" s="24" customFormat="1" x14ac:dyDescent="0.25">
      <c r="A33" s="144" t="s">
        <v>3320</v>
      </c>
      <c r="B33" s="60">
        <v>6236699.6790800001</v>
      </c>
      <c r="C33" s="60">
        <v>-91968.84999666363</v>
      </c>
      <c r="D33" s="60">
        <v>6144730.8290833365</v>
      </c>
      <c r="E33" s="60">
        <v>5516227.5600000005</v>
      </c>
      <c r="F33" s="60">
        <v>5516227.5600000005</v>
      </c>
      <c r="G33" s="77">
        <f t="shared" si="0"/>
        <v>628503.269083336</v>
      </c>
    </row>
    <row r="34" spans="1:7" s="24" customFormat="1" x14ac:dyDescent="0.25">
      <c r="A34" s="144" t="s">
        <v>3321</v>
      </c>
      <c r="B34" s="60">
        <v>1011292.7830799998</v>
      </c>
      <c r="C34" s="60">
        <v>459581.53000333358</v>
      </c>
      <c r="D34" s="60">
        <v>1470874.3130833334</v>
      </c>
      <c r="E34" s="60">
        <v>1338314.7899999998</v>
      </c>
      <c r="F34" s="60">
        <v>1338314.7899999998</v>
      </c>
      <c r="G34" s="77">
        <f t="shared" si="0"/>
        <v>132559.52308333362</v>
      </c>
    </row>
    <row r="35" spans="1:7" s="24" customFormat="1" x14ac:dyDescent="0.25">
      <c r="A35" s="144" t="s">
        <v>3322</v>
      </c>
      <c r="B35" s="60">
        <v>23993436.71508</v>
      </c>
      <c r="C35" s="60">
        <v>1679478.760003332</v>
      </c>
      <c r="D35" s="60">
        <v>25672915.475083333</v>
      </c>
      <c r="E35" s="60">
        <v>25105528.84</v>
      </c>
      <c r="F35" s="60">
        <v>25105528.84</v>
      </c>
      <c r="G35" s="77">
        <f t="shared" si="0"/>
        <v>567386.63508333266</v>
      </c>
    </row>
    <row r="36" spans="1:7" s="24" customFormat="1" x14ac:dyDescent="0.25">
      <c r="A36" s="144" t="s">
        <v>3323</v>
      </c>
      <c r="B36" s="60">
        <v>5036397.3395800004</v>
      </c>
      <c r="C36" s="60">
        <v>-169156.19999666698</v>
      </c>
      <c r="D36" s="60">
        <v>4867241.1395833334</v>
      </c>
      <c r="E36" s="60">
        <v>4551744.5600000005</v>
      </c>
      <c r="F36" s="60">
        <v>4551744.5600000005</v>
      </c>
      <c r="G36" s="77">
        <f t="shared" si="0"/>
        <v>315496.57958333287</v>
      </c>
    </row>
    <row r="37" spans="1:7" s="24" customFormat="1" x14ac:dyDescent="0.25">
      <c r="A37" s="144" t="s">
        <v>3324</v>
      </c>
      <c r="B37" s="60">
        <v>5060363.6795799993</v>
      </c>
      <c r="C37" s="60">
        <v>-350502.9999966668</v>
      </c>
      <c r="D37" s="60">
        <v>4709860.6795833325</v>
      </c>
      <c r="E37" s="60">
        <v>4493627.5699999994</v>
      </c>
      <c r="F37" s="60">
        <v>4493627.5699999994</v>
      </c>
      <c r="G37" s="77">
        <f t="shared" si="0"/>
        <v>216233.10958333313</v>
      </c>
    </row>
    <row r="38" spans="1:7" s="24" customFormat="1" x14ac:dyDescent="0.25">
      <c r="A38" s="144" t="s">
        <v>3325</v>
      </c>
      <c r="B38" s="60">
        <v>6033853.3985799998</v>
      </c>
      <c r="C38" s="60">
        <v>-27043.809996664524</v>
      </c>
      <c r="D38" s="60">
        <v>6006809.5885833353</v>
      </c>
      <c r="E38" s="60">
        <v>5664876.3399999999</v>
      </c>
      <c r="F38" s="60">
        <v>5664876.3399999999</v>
      </c>
      <c r="G38" s="77">
        <f t="shared" si="0"/>
        <v>341933.24858333543</v>
      </c>
    </row>
    <row r="39" spans="1:7" s="24" customFormat="1" x14ac:dyDescent="0.25">
      <c r="A39" s="144" t="s">
        <v>3326</v>
      </c>
      <c r="B39" s="60">
        <v>2884925.3673299998</v>
      </c>
      <c r="C39" s="60">
        <v>-412180.05999666639</v>
      </c>
      <c r="D39" s="60">
        <v>2472745.3073333334</v>
      </c>
      <c r="E39" s="60">
        <v>2293788.25</v>
      </c>
      <c r="F39" s="60">
        <v>2293788.25</v>
      </c>
      <c r="G39" s="77">
        <f t="shared" si="0"/>
        <v>178957.05733333342</v>
      </c>
    </row>
    <row r="40" spans="1:7" s="24" customFormat="1" x14ac:dyDescent="0.25">
      <c r="A40" s="144" t="s">
        <v>3327</v>
      </c>
      <c r="B40" s="60">
        <v>5318132.9770800006</v>
      </c>
      <c r="C40" s="60">
        <v>-490940.67999666557</v>
      </c>
      <c r="D40" s="60">
        <v>4827192.297083335</v>
      </c>
      <c r="E40" s="60">
        <v>4425107.1300000008</v>
      </c>
      <c r="F40" s="60">
        <v>4425107.1300000008</v>
      </c>
      <c r="G40" s="77">
        <f t="shared" si="0"/>
        <v>402085.16708333418</v>
      </c>
    </row>
    <row r="41" spans="1:7" s="24" customFormat="1" x14ac:dyDescent="0.25">
      <c r="A41" s="144" t="s">
        <v>3328</v>
      </c>
      <c r="B41" s="60">
        <v>790250.20699999994</v>
      </c>
      <c r="C41" s="60">
        <v>1851.839999999851</v>
      </c>
      <c r="D41" s="60">
        <v>792102.04699999979</v>
      </c>
      <c r="E41" s="60">
        <v>704386.40999999992</v>
      </c>
      <c r="F41" s="60">
        <v>704386.40999999992</v>
      </c>
      <c r="G41" s="77">
        <f t="shared" si="0"/>
        <v>87715.636999999871</v>
      </c>
    </row>
    <row r="42" spans="1:7" s="24" customFormat="1" x14ac:dyDescent="0.25">
      <c r="A42" s="144" t="s">
        <v>3329</v>
      </c>
      <c r="B42" s="60">
        <v>72831170.958420008</v>
      </c>
      <c r="C42" s="60">
        <v>3561849.1299966574</v>
      </c>
      <c r="D42" s="60">
        <v>76393020.088416666</v>
      </c>
      <c r="E42" s="60">
        <v>74784648.939999998</v>
      </c>
      <c r="F42" s="60">
        <v>74784648.939999998</v>
      </c>
      <c r="G42" s="77">
        <f t="shared" si="0"/>
        <v>1608371.1484166682</v>
      </c>
    </row>
    <row r="43" spans="1:7" s="24" customFormat="1" x14ac:dyDescent="0.25">
      <c r="A43" s="144" t="s">
        <v>3330</v>
      </c>
      <c r="B43" s="60">
        <v>18354029.854999997</v>
      </c>
      <c r="C43" s="60">
        <v>158515.78066667169</v>
      </c>
      <c r="D43" s="60">
        <v>18512545.635666668</v>
      </c>
      <c r="E43" s="60">
        <v>16998664.459999997</v>
      </c>
      <c r="F43" s="60">
        <v>16998664.459999997</v>
      </c>
      <c r="G43" s="77">
        <f t="shared" si="0"/>
        <v>1513881.1756666712</v>
      </c>
    </row>
    <row r="44" spans="1:7" s="24" customFormat="1" x14ac:dyDescent="0.25">
      <c r="A44" s="144" t="s">
        <v>3331</v>
      </c>
      <c r="B44" s="60">
        <v>8907282.0342500005</v>
      </c>
      <c r="C44" s="60">
        <v>-1534005.9900000012</v>
      </c>
      <c r="D44" s="60">
        <v>7373276.0442499993</v>
      </c>
      <c r="E44" s="60">
        <v>6945921.3649999984</v>
      </c>
      <c r="F44" s="60">
        <v>6945921.3649999984</v>
      </c>
      <c r="G44" s="77">
        <f t="shared" si="0"/>
        <v>427354.67925000098</v>
      </c>
    </row>
    <row r="45" spans="1:7" s="24" customFormat="1" x14ac:dyDescent="0.25">
      <c r="A45" s="144" t="s">
        <v>3332</v>
      </c>
      <c r="B45" s="60">
        <v>6394022.97908</v>
      </c>
      <c r="C45" s="60">
        <v>-616166.74999666493</v>
      </c>
      <c r="D45" s="60">
        <v>5777856.229083335</v>
      </c>
      <c r="E45" s="60">
        <v>5278315.8099999996</v>
      </c>
      <c r="F45" s="60">
        <v>5278315.8099999996</v>
      </c>
      <c r="G45" s="77">
        <f t="shared" si="0"/>
        <v>499540.41908333544</v>
      </c>
    </row>
    <row r="46" spans="1:7" s="24" customFormat="1" x14ac:dyDescent="0.25">
      <c r="A46" s="144" t="s">
        <v>3333</v>
      </c>
      <c r="B46" s="60">
        <v>2472462.6774199996</v>
      </c>
      <c r="C46" s="60">
        <v>-41903.440003332682</v>
      </c>
      <c r="D46" s="60">
        <v>2430559.2374166669</v>
      </c>
      <c r="E46" s="60">
        <v>2326527.5099999998</v>
      </c>
      <c r="F46" s="60">
        <v>2326527.5099999998</v>
      </c>
      <c r="G46" s="77">
        <f t="shared" si="0"/>
        <v>104031.72741666716</v>
      </c>
    </row>
    <row r="47" spans="1:7" s="24" customFormat="1" x14ac:dyDescent="0.25">
      <c r="A47" s="144" t="s">
        <v>3334</v>
      </c>
      <c r="B47" s="60">
        <v>307005084.58307993</v>
      </c>
      <c r="C47" s="60">
        <v>181946996.84285146</v>
      </c>
      <c r="D47" s="60">
        <v>488952081.42593139</v>
      </c>
      <c r="E47" s="60">
        <v>225839340.50999999</v>
      </c>
      <c r="F47" s="60">
        <v>225839340.50999999</v>
      </c>
      <c r="G47" s="77">
        <f t="shared" si="0"/>
        <v>263112740.9159314</v>
      </c>
    </row>
    <row r="48" spans="1:7" s="24" customFormat="1" x14ac:dyDescent="0.25">
      <c r="A48" s="144" t="s">
        <v>3335</v>
      </c>
      <c r="B48" s="60">
        <v>6154198.5396700017</v>
      </c>
      <c r="C48" s="60">
        <v>-93972.860003335401</v>
      </c>
      <c r="D48" s="60">
        <v>6060225.6796666663</v>
      </c>
      <c r="E48" s="60">
        <v>5860874.4799999995</v>
      </c>
      <c r="F48" s="60">
        <v>5860874.4799999995</v>
      </c>
      <c r="G48" s="77">
        <f t="shared" si="0"/>
        <v>199351.1996666668</v>
      </c>
    </row>
    <row r="49" spans="1:7" s="24" customFormat="1" x14ac:dyDescent="0.25">
      <c r="A49" s="144" t="s">
        <v>3336</v>
      </c>
      <c r="B49" s="60">
        <v>5807572.5120800016</v>
      </c>
      <c r="C49" s="60">
        <v>-114091.54999666568</v>
      </c>
      <c r="D49" s="60">
        <v>5693480.962083336</v>
      </c>
      <c r="E49" s="60">
        <v>5416880.4000000004</v>
      </c>
      <c r="F49" s="60">
        <v>5416880.4000000004</v>
      </c>
      <c r="G49" s="77">
        <f t="shared" si="0"/>
        <v>276600.56208333559</v>
      </c>
    </row>
    <row r="50" spans="1:7" s="24" customFormat="1" x14ac:dyDescent="0.25">
      <c r="A50" s="144" t="s">
        <v>3337</v>
      </c>
      <c r="B50" s="60">
        <v>1159271.3730799998</v>
      </c>
      <c r="C50" s="60">
        <v>-69047.479996666545</v>
      </c>
      <c r="D50" s="60">
        <v>1090223.8930833333</v>
      </c>
      <c r="E50" s="60">
        <v>1051080.7999999996</v>
      </c>
      <c r="F50" s="60">
        <v>1051080.7999999996</v>
      </c>
      <c r="G50" s="77">
        <f t="shared" si="0"/>
        <v>39143.09308333369</v>
      </c>
    </row>
    <row r="51" spans="1:7" s="24" customFormat="1" x14ac:dyDescent="0.25">
      <c r="A51" s="144" t="s">
        <v>3338</v>
      </c>
      <c r="B51" s="60">
        <v>5628288.5682500005</v>
      </c>
      <c r="C51" s="60">
        <v>2548095.7500000019</v>
      </c>
      <c r="D51" s="60">
        <v>8176384.3182500023</v>
      </c>
      <c r="E51" s="60">
        <v>7827044.3100000005</v>
      </c>
      <c r="F51" s="60">
        <v>7827044.3100000005</v>
      </c>
      <c r="G51" s="77">
        <f t="shared" si="0"/>
        <v>349340.00825000182</v>
      </c>
    </row>
    <row r="52" spans="1:7" s="24" customFormat="1" x14ac:dyDescent="0.25">
      <c r="A52" s="144" t="s">
        <v>3339</v>
      </c>
      <c r="B52" s="60">
        <v>10987175.77925</v>
      </c>
      <c r="C52" s="60">
        <v>791152.81000000238</v>
      </c>
      <c r="D52" s="60">
        <v>11778328.589250002</v>
      </c>
      <c r="E52" s="60">
        <v>11140501.43</v>
      </c>
      <c r="F52" s="60">
        <v>11140501.43</v>
      </c>
      <c r="G52" s="77">
        <f t="shared" si="0"/>
        <v>637827.15925000235</v>
      </c>
    </row>
    <row r="53" spans="1:7" s="24" customFormat="1" x14ac:dyDescent="0.25">
      <c r="A53" s="144" t="s">
        <v>3340</v>
      </c>
      <c r="B53" s="60">
        <v>4903559.6999700004</v>
      </c>
      <c r="C53" s="60">
        <v>-191130.74030333385</v>
      </c>
      <c r="D53" s="60">
        <v>4712428.9596666666</v>
      </c>
      <c r="E53" s="60">
        <v>3818616.79</v>
      </c>
      <c r="F53" s="60">
        <v>3818616.79</v>
      </c>
      <c r="G53" s="77">
        <f t="shared" si="0"/>
        <v>893812.16966666654</v>
      </c>
    </row>
    <row r="54" spans="1:7" s="24" customFormat="1" x14ac:dyDescent="0.25">
      <c r="A54" s="144" t="s">
        <v>3341</v>
      </c>
      <c r="B54" s="60">
        <v>1082611.6890799999</v>
      </c>
      <c r="C54" s="60">
        <v>470121.38000333356</v>
      </c>
      <c r="D54" s="60">
        <v>1552733.0690833335</v>
      </c>
      <c r="E54" s="60">
        <v>1489530.0399999998</v>
      </c>
      <c r="F54" s="60">
        <v>1489530.0399999998</v>
      </c>
      <c r="G54" s="77">
        <f t="shared" si="0"/>
        <v>63203.029083333677</v>
      </c>
    </row>
    <row r="55" spans="1:7" x14ac:dyDescent="0.25">
      <c r="A55" s="76" t="s">
        <v>678</v>
      </c>
      <c r="B55" s="54"/>
      <c r="C55" s="54"/>
      <c r="D55" s="54"/>
      <c r="E55" s="54"/>
      <c r="F55" s="54"/>
      <c r="G55" s="54"/>
    </row>
    <row r="56" spans="1:7" s="24" customFormat="1" x14ac:dyDescent="0.25">
      <c r="A56" s="55" t="s">
        <v>433</v>
      </c>
      <c r="B56" s="61">
        <f>SUM(B57:GASTO_E_FIN_01)</f>
        <v>172598064.79999998</v>
      </c>
      <c r="C56" s="61">
        <f>SUM(C57:GASTO_E_FIN_02)</f>
        <v>-52563634.579999983</v>
      </c>
      <c r="D56" s="61">
        <f>SUM(D57:GASTO_E_FIN_03)</f>
        <v>120034430.22</v>
      </c>
      <c r="E56" s="61">
        <f>SUM(E57:GASTO_E_FIN_04)</f>
        <v>97379616.5</v>
      </c>
      <c r="F56" s="61">
        <f>SUM(F57:GASTO_E_FIN_05)</f>
        <v>97379616.5</v>
      </c>
      <c r="G56" s="61">
        <f>SUM(G57:GASTO_E_FIN_06)</f>
        <v>22654813.719999999</v>
      </c>
    </row>
    <row r="57" spans="1:7" s="24" customFormat="1" x14ac:dyDescent="0.25">
      <c r="A57" s="144" t="s">
        <v>3297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>D57-E57</f>
        <v>0</v>
      </c>
    </row>
    <row r="58" spans="1:7" s="24" customFormat="1" x14ac:dyDescent="0.25">
      <c r="A58" s="144" t="s">
        <v>3298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ref="G58:G101" si="1">D58-E58</f>
        <v>0</v>
      </c>
    </row>
    <row r="59" spans="1:7" s="24" customFormat="1" x14ac:dyDescent="0.25">
      <c r="A59" s="144" t="s">
        <v>3299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si="1"/>
        <v>0</v>
      </c>
    </row>
    <row r="60" spans="1:7" s="24" customFormat="1" x14ac:dyDescent="0.25">
      <c r="A60" s="144" t="s">
        <v>3300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 t="shared" si="1"/>
        <v>0</v>
      </c>
    </row>
    <row r="61" spans="1:7" s="24" customFormat="1" x14ac:dyDescent="0.25">
      <c r="A61" s="144" t="s">
        <v>3301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 t="shared" si="1"/>
        <v>0</v>
      </c>
    </row>
    <row r="62" spans="1:7" s="24" customFormat="1" x14ac:dyDescent="0.25">
      <c r="A62" s="144" t="s">
        <v>3302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 t="shared" si="1"/>
        <v>0</v>
      </c>
    </row>
    <row r="63" spans="1:7" s="24" customFormat="1" x14ac:dyDescent="0.25">
      <c r="A63" s="144" t="s">
        <v>3303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 t="shared" si="1"/>
        <v>0</v>
      </c>
    </row>
    <row r="64" spans="1:7" s="24" customFormat="1" x14ac:dyDescent="0.25">
      <c r="A64" s="144" t="s">
        <v>3304</v>
      </c>
      <c r="B64" s="60">
        <v>0</v>
      </c>
      <c r="C64" s="60">
        <v>0</v>
      </c>
      <c r="D64" s="60">
        <v>0</v>
      </c>
      <c r="E64" s="60">
        <v>0</v>
      </c>
      <c r="F64" s="60">
        <v>0</v>
      </c>
      <c r="G64" s="60">
        <f t="shared" si="1"/>
        <v>0</v>
      </c>
    </row>
    <row r="65" spans="1:7" s="24" customFormat="1" x14ac:dyDescent="0.25">
      <c r="A65" s="144" t="s">
        <v>3305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60">
        <f t="shared" si="1"/>
        <v>0</v>
      </c>
    </row>
    <row r="66" spans="1:7" s="24" customFormat="1" x14ac:dyDescent="0.25">
      <c r="A66" s="144" t="s">
        <v>3306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f t="shared" si="1"/>
        <v>0</v>
      </c>
    </row>
    <row r="67" spans="1:7" s="24" customFormat="1" x14ac:dyDescent="0.25">
      <c r="A67" s="144" t="s">
        <v>3307</v>
      </c>
      <c r="B67" s="60">
        <v>0</v>
      </c>
      <c r="C67" s="60">
        <v>0</v>
      </c>
      <c r="D67" s="60">
        <v>0</v>
      </c>
      <c r="E67" s="60">
        <v>0</v>
      </c>
      <c r="F67" s="60">
        <v>0</v>
      </c>
      <c r="G67" s="60">
        <f t="shared" si="1"/>
        <v>0</v>
      </c>
    </row>
    <row r="68" spans="1:7" s="24" customFormat="1" x14ac:dyDescent="0.25">
      <c r="A68" s="144" t="s">
        <v>3308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 t="shared" si="1"/>
        <v>0</v>
      </c>
    </row>
    <row r="69" spans="1:7" s="24" customFormat="1" x14ac:dyDescent="0.25">
      <c r="A69" s="144" t="s">
        <v>3309</v>
      </c>
      <c r="B69" s="60">
        <v>0</v>
      </c>
      <c r="C69" s="60">
        <v>0</v>
      </c>
      <c r="D69" s="60">
        <v>0</v>
      </c>
      <c r="E69" s="60">
        <v>0</v>
      </c>
      <c r="F69" s="60">
        <v>0</v>
      </c>
      <c r="G69" s="60">
        <f t="shared" si="1"/>
        <v>0</v>
      </c>
    </row>
    <row r="70" spans="1:7" s="24" customFormat="1" x14ac:dyDescent="0.25">
      <c r="A70" s="144" t="s">
        <v>3310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f t="shared" si="1"/>
        <v>0</v>
      </c>
    </row>
    <row r="71" spans="1:7" s="24" customFormat="1" x14ac:dyDescent="0.25">
      <c r="A71" s="144" t="s">
        <v>3311</v>
      </c>
      <c r="B71" s="60">
        <v>0</v>
      </c>
      <c r="C71" s="60">
        <v>0</v>
      </c>
      <c r="D71" s="60">
        <v>0</v>
      </c>
      <c r="E71" s="60">
        <v>0</v>
      </c>
      <c r="F71" s="60">
        <v>0</v>
      </c>
      <c r="G71" s="60">
        <f t="shared" si="1"/>
        <v>0</v>
      </c>
    </row>
    <row r="72" spans="1:7" s="24" customFormat="1" x14ac:dyDescent="0.25">
      <c r="A72" s="144" t="s">
        <v>3312</v>
      </c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f t="shared" si="1"/>
        <v>0</v>
      </c>
    </row>
    <row r="73" spans="1:7" s="24" customFormat="1" x14ac:dyDescent="0.25">
      <c r="A73" s="144" t="s">
        <v>3313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 t="shared" si="1"/>
        <v>0</v>
      </c>
    </row>
    <row r="74" spans="1:7" s="24" customFormat="1" x14ac:dyDescent="0.25">
      <c r="A74" s="144" t="s">
        <v>3314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 t="shared" si="1"/>
        <v>0</v>
      </c>
    </row>
    <row r="75" spans="1:7" s="24" customFormat="1" x14ac:dyDescent="0.25">
      <c r="A75" s="144" t="s">
        <v>3315</v>
      </c>
      <c r="B75" s="60">
        <v>0</v>
      </c>
      <c r="C75" s="60">
        <v>0</v>
      </c>
      <c r="D75" s="60">
        <v>0</v>
      </c>
      <c r="E75" s="60">
        <v>0</v>
      </c>
      <c r="F75" s="60">
        <v>0</v>
      </c>
      <c r="G75" s="60">
        <f t="shared" si="1"/>
        <v>0</v>
      </c>
    </row>
    <row r="76" spans="1:7" s="24" customFormat="1" x14ac:dyDescent="0.25">
      <c r="A76" s="144" t="s">
        <v>3316</v>
      </c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f t="shared" si="1"/>
        <v>0</v>
      </c>
    </row>
    <row r="77" spans="1:7" s="24" customFormat="1" x14ac:dyDescent="0.25">
      <c r="A77" s="144" t="s">
        <v>3317</v>
      </c>
      <c r="B77" s="60">
        <v>0</v>
      </c>
      <c r="C77" s="60">
        <v>0</v>
      </c>
      <c r="D77" s="60">
        <v>0</v>
      </c>
      <c r="E77" s="60">
        <v>0</v>
      </c>
      <c r="F77" s="60">
        <v>0</v>
      </c>
      <c r="G77" s="60">
        <f t="shared" si="1"/>
        <v>0</v>
      </c>
    </row>
    <row r="78" spans="1:7" s="24" customFormat="1" x14ac:dyDescent="0.25">
      <c r="A78" s="144" t="s">
        <v>3318</v>
      </c>
      <c r="B78" s="60">
        <v>0</v>
      </c>
      <c r="C78" s="60">
        <v>0</v>
      </c>
      <c r="D78" s="60">
        <v>0</v>
      </c>
      <c r="E78" s="60">
        <v>0</v>
      </c>
      <c r="F78" s="60">
        <v>0</v>
      </c>
      <c r="G78" s="60">
        <f t="shared" si="1"/>
        <v>0</v>
      </c>
    </row>
    <row r="79" spans="1:7" s="24" customFormat="1" x14ac:dyDescent="0.25">
      <c r="A79" s="144" t="s">
        <v>3319</v>
      </c>
      <c r="B79" s="60">
        <v>0</v>
      </c>
      <c r="C79" s="60">
        <v>0</v>
      </c>
      <c r="D79" s="60">
        <v>0</v>
      </c>
      <c r="E79" s="60">
        <v>0</v>
      </c>
      <c r="F79" s="60">
        <v>0</v>
      </c>
      <c r="G79" s="60">
        <f t="shared" si="1"/>
        <v>0</v>
      </c>
    </row>
    <row r="80" spans="1:7" s="24" customFormat="1" x14ac:dyDescent="0.25">
      <c r="A80" s="144" t="s">
        <v>3320</v>
      </c>
      <c r="B80" s="60">
        <v>0</v>
      </c>
      <c r="C80" s="60">
        <v>0</v>
      </c>
      <c r="D80" s="60">
        <v>0</v>
      </c>
      <c r="E80" s="60">
        <v>0</v>
      </c>
      <c r="F80" s="60">
        <v>0</v>
      </c>
      <c r="G80" s="60">
        <f t="shared" si="1"/>
        <v>0</v>
      </c>
    </row>
    <row r="81" spans="1:7" s="24" customFormat="1" x14ac:dyDescent="0.25">
      <c r="A81" s="144" t="s">
        <v>3321</v>
      </c>
      <c r="B81" s="60">
        <v>0</v>
      </c>
      <c r="C81" s="60">
        <v>0</v>
      </c>
      <c r="D81" s="60">
        <v>0</v>
      </c>
      <c r="E81" s="60">
        <v>0</v>
      </c>
      <c r="F81" s="60">
        <v>0</v>
      </c>
      <c r="G81" s="60">
        <f t="shared" si="1"/>
        <v>0</v>
      </c>
    </row>
    <row r="82" spans="1:7" s="24" customFormat="1" x14ac:dyDescent="0.25">
      <c r="A82" s="144" t="s">
        <v>3322</v>
      </c>
      <c r="B82" s="60">
        <v>0</v>
      </c>
      <c r="C82" s="60">
        <v>0</v>
      </c>
      <c r="D82" s="60">
        <v>0</v>
      </c>
      <c r="E82" s="60">
        <v>0</v>
      </c>
      <c r="F82" s="60">
        <v>0</v>
      </c>
      <c r="G82" s="60">
        <f t="shared" si="1"/>
        <v>0</v>
      </c>
    </row>
    <row r="83" spans="1:7" s="24" customFormat="1" x14ac:dyDescent="0.25">
      <c r="A83" s="144" t="s">
        <v>3323</v>
      </c>
      <c r="B83" s="60">
        <v>0</v>
      </c>
      <c r="C83" s="60">
        <v>0</v>
      </c>
      <c r="D83" s="60">
        <v>0</v>
      </c>
      <c r="E83" s="60">
        <v>0</v>
      </c>
      <c r="F83" s="60">
        <v>0</v>
      </c>
      <c r="G83" s="60">
        <f t="shared" si="1"/>
        <v>0</v>
      </c>
    </row>
    <row r="84" spans="1:7" s="24" customFormat="1" x14ac:dyDescent="0.25">
      <c r="A84" s="144" t="s">
        <v>3324</v>
      </c>
      <c r="B84" s="60">
        <v>0</v>
      </c>
      <c r="C84" s="60">
        <v>0</v>
      </c>
      <c r="D84" s="60">
        <v>0</v>
      </c>
      <c r="E84" s="60">
        <v>0</v>
      </c>
      <c r="F84" s="60">
        <v>0</v>
      </c>
      <c r="G84" s="60">
        <f t="shared" si="1"/>
        <v>0</v>
      </c>
    </row>
    <row r="85" spans="1:7" s="24" customFormat="1" x14ac:dyDescent="0.25">
      <c r="A85" s="144" t="s">
        <v>3325</v>
      </c>
      <c r="B85" s="60">
        <v>0</v>
      </c>
      <c r="C85" s="60">
        <v>0</v>
      </c>
      <c r="D85" s="60">
        <v>0</v>
      </c>
      <c r="E85" s="60">
        <v>0</v>
      </c>
      <c r="F85" s="60">
        <v>0</v>
      </c>
      <c r="G85" s="60">
        <f t="shared" si="1"/>
        <v>0</v>
      </c>
    </row>
    <row r="86" spans="1:7" s="24" customFormat="1" x14ac:dyDescent="0.25">
      <c r="A86" s="144" t="s">
        <v>3326</v>
      </c>
      <c r="B86" s="60">
        <v>0</v>
      </c>
      <c r="C86" s="60">
        <v>0</v>
      </c>
      <c r="D86" s="60">
        <v>0</v>
      </c>
      <c r="E86" s="60">
        <v>0</v>
      </c>
      <c r="F86" s="60">
        <v>0</v>
      </c>
      <c r="G86" s="60">
        <f t="shared" si="1"/>
        <v>0</v>
      </c>
    </row>
    <row r="87" spans="1:7" s="24" customFormat="1" x14ac:dyDescent="0.25">
      <c r="A87" s="144" t="s">
        <v>3327</v>
      </c>
      <c r="B87" s="60">
        <v>0</v>
      </c>
      <c r="C87" s="60">
        <v>0</v>
      </c>
      <c r="D87" s="60">
        <v>0</v>
      </c>
      <c r="E87" s="60">
        <v>0</v>
      </c>
      <c r="F87" s="60">
        <v>0</v>
      </c>
      <c r="G87" s="60">
        <f t="shared" si="1"/>
        <v>0</v>
      </c>
    </row>
    <row r="88" spans="1:7" s="24" customFormat="1" x14ac:dyDescent="0.25">
      <c r="A88" s="144" t="s">
        <v>3328</v>
      </c>
      <c r="B88" s="60">
        <v>0</v>
      </c>
      <c r="C88" s="60">
        <v>0</v>
      </c>
      <c r="D88" s="60">
        <v>0</v>
      </c>
      <c r="E88" s="60">
        <v>0</v>
      </c>
      <c r="F88" s="60">
        <v>0</v>
      </c>
      <c r="G88" s="60">
        <f t="shared" si="1"/>
        <v>0</v>
      </c>
    </row>
    <row r="89" spans="1:7" s="24" customFormat="1" x14ac:dyDescent="0.25">
      <c r="A89" s="144" t="s">
        <v>3329</v>
      </c>
      <c r="B89" s="60">
        <v>0</v>
      </c>
      <c r="C89" s="60">
        <v>0</v>
      </c>
      <c r="D89" s="60">
        <v>0</v>
      </c>
      <c r="E89" s="60">
        <v>0</v>
      </c>
      <c r="F89" s="60">
        <v>0</v>
      </c>
      <c r="G89" s="60">
        <f t="shared" si="1"/>
        <v>0</v>
      </c>
    </row>
    <row r="90" spans="1:7" s="24" customFormat="1" x14ac:dyDescent="0.25">
      <c r="A90" s="144" t="s">
        <v>3330</v>
      </c>
      <c r="B90" s="60">
        <v>0</v>
      </c>
      <c r="C90" s="60">
        <v>0</v>
      </c>
      <c r="D90" s="60">
        <v>0</v>
      </c>
      <c r="E90" s="60">
        <v>0</v>
      </c>
      <c r="F90" s="60">
        <v>0</v>
      </c>
      <c r="G90" s="60">
        <f t="shared" si="1"/>
        <v>0</v>
      </c>
    </row>
    <row r="91" spans="1:7" s="24" customFormat="1" x14ac:dyDescent="0.25">
      <c r="A91" s="144" t="s">
        <v>3331</v>
      </c>
      <c r="B91" s="60">
        <v>0</v>
      </c>
      <c r="C91" s="60">
        <v>0</v>
      </c>
      <c r="D91" s="60">
        <v>0</v>
      </c>
      <c r="E91" s="60">
        <v>0</v>
      </c>
      <c r="F91" s="60">
        <v>0</v>
      </c>
      <c r="G91" s="60">
        <f t="shared" si="1"/>
        <v>0</v>
      </c>
    </row>
    <row r="92" spans="1:7" s="24" customFormat="1" x14ac:dyDescent="0.25">
      <c r="A92" s="144" t="s">
        <v>3332</v>
      </c>
      <c r="B92" s="60">
        <v>0</v>
      </c>
      <c r="C92" s="60">
        <v>0</v>
      </c>
      <c r="D92" s="60">
        <v>0</v>
      </c>
      <c r="E92" s="60">
        <v>0</v>
      </c>
      <c r="F92" s="60">
        <v>0</v>
      </c>
      <c r="G92" s="60">
        <f t="shared" si="1"/>
        <v>0</v>
      </c>
    </row>
    <row r="93" spans="1:7" s="24" customFormat="1" x14ac:dyDescent="0.25">
      <c r="A93" s="144" t="s">
        <v>3333</v>
      </c>
      <c r="B93" s="60">
        <v>0</v>
      </c>
      <c r="C93" s="60">
        <v>0</v>
      </c>
      <c r="D93" s="60">
        <v>0</v>
      </c>
      <c r="E93" s="60">
        <v>0</v>
      </c>
      <c r="F93" s="60">
        <v>0</v>
      </c>
      <c r="G93" s="60">
        <f t="shared" si="1"/>
        <v>0</v>
      </c>
    </row>
    <row r="94" spans="1:7" s="24" customFormat="1" x14ac:dyDescent="0.25">
      <c r="A94" s="144" t="s">
        <v>3334</v>
      </c>
      <c r="B94" s="60">
        <v>172598064.79999998</v>
      </c>
      <c r="C94" s="60">
        <v>-52563634.579999983</v>
      </c>
      <c r="D94" s="60">
        <v>120034430.22</v>
      </c>
      <c r="E94" s="60">
        <v>97379616.5</v>
      </c>
      <c r="F94" s="60">
        <v>97379616.5</v>
      </c>
      <c r="G94" s="60">
        <f t="shared" si="1"/>
        <v>22654813.719999999</v>
      </c>
    </row>
    <row r="95" spans="1:7" s="24" customFormat="1" x14ac:dyDescent="0.25">
      <c r="A95" s="144" t="s">
        <v>3335</v>
      </c>
      <c r="B95" s="60">
        <v>0</v>
      </c>
      <c r="C95" s="60">
        <v>0</v>
      </c>
      <c r="D95" s="60">
        <v>0</v>
      </c>
      <c r="E95" s="60">
        <v>0</v>
      </c>
      <c r="F95" s="60">
        <v>0</v>
      </c>
      <c r="G95" s="60">
        <f t="shared" si="1"/>
        <v>0</v>
      </c>
    </row>
    <row r="96" spans="1:7" s="24" customFormat="1" x14ac:dyDescent="0.25">
      <c r="A96" s="144" t="s">
        <v>3336</v>
      </c>
      <c r="B96" s="60">
        <v>0</v>
      </c>
      <c r="C96" s="60">
        <v>0</v>
      </c>
      <c r="D96" s="60">
        <v>0</v>
      </c>
      <c r="E96" s="60">
        <v>0</v>
      </c>
      <c r="F96" s="60">
        <v>0</v>
      </c>
      <c r="G96" s="60">
        <f t="shared" si="1"/>
        <v>0</v>
      </c>
    </row>
    <row r="97" spans="1:7" s="24" customFormat="1" x14ac:dyDescent="0.25">
      <c r="A97" s="144" t="s">
        <v>3337</v>
      </c>
      <c r="B97" s="60">
        <v>0</v>
      </c>
      <c r="C97" s="60">
        <v>0</v>
      </c>
      <c r="D97" s="60">
        <v>0</v>
      </c>
      <c r="E97" s="60">
        <v>0</v>
      </c>
      <c r="F97" s="60">
        <v>0</v>
      </c>
      <c r="G97" s="60">
        <f t="shared" si="1"/>
        <v>0</v>
      </c>
    </row>
    <row r="98" spans="1:7" s="24" customFormat="1" x14ac:dyDescent="0.25">
      <c r="A98" s="144" t="s">
        <v>3338</v>
      </c>
      <c r="B98" s="60">
        <v>0</v>
      </c>
      <c r="C98" s="60">
        <v>0</v>
      </c>
      <c r="D98" s="60">
        <v>0</v>
      </c>
      <c r="E98" s="60">
        <v>0</v>
      </c>
      <c r="F98" s="60">
        <v>0</v>
      </c>
      <c r="G98" s="60">
        <f t="shared" si="1"/>
        <v>0</v>
      </c>
    </row>
    <row r="99" spans="1:7" s="24" customFormat="1" x14ac:dyDescent="0.25">
      <c r="A99" s="144" t="s">
        <v>3339</v>
      </c>
      <c r="B99" s="60">
        <v>0</v>
      </c>
      <c r="C99" s="60">
        <v>0</v>
      </c>
      <c r="D99" s="60">
        <v>0</v>
      </c>
      <c r="E99" s="60">
        <v>0</v>
      </c>
      <c r="F99" s="60">
        <v>0</v>
      </c>
      <c r="G99" s="60">
        <f t="shared" si="1"/>
        <v>0</v>
      </c>
    </row>
    <row r="100" spans="1:7" s="24" customFormat="1" x14ac:dyDescent="0.25">
      <c r="A100" s="144" t="s">
        <v>3340</v>
      </c>
      <c r="B100" s="60">
        <v>0</v>
      </c>
      <c r="C100" s="60">
        <v>0</v>
      </c>
      <c r="D100" s="60">
        <v>0</v>
      </c>
      <c r="E100" s="60">
        <v>0</v>
      </c>
      <c r="F100" s="60">
        <v>0</v>
      </c>
      <c r="G100" s="60">
        <f t="shared" si="1"/>
        <v>0</v>
      </c>
    </row>
    <row r="101" spans="1:7" s="24" customFormat="1" x14ac:dyDescent="0.25">
      <c r="A101" s="144" t="s">
        <v>3341</v>
      </c>
      <c r="B101" s="60">
        <v>0</v>
      </c>
      <c r="C101" s="60">
        <v>0</v>
      </c>
      <c r="D101" s="60">
        <v>0</v>
      </c>
      <c r="E101" s="60">
        <v>0</v>
      </c>
      <c r="F101" s="60">
        <v>0</v>
      </c>
      <c r="G101" s="60">
        <f t="shared" si="1"/>
        <v>0</v>
      </c>
    </row>
    <row r="102" spans="1:7" x14ac:dyDescent="0.25">
      <c r="A102" s="76" t="s">
        <v>678</v>
      </c>
      <c r="B102" s="54"/>
      <c r="C102" s="54"/>
      <c r="D102" s="54"/>
      <c r="E102" s="54"/>
      <c r="F102" s="54"/>
      <c r="G102" s="54"/>
    </row>
    <row r="103" spans="1:7" x14ac:dyDescent="0.25">
      <c r="A103" s="55" t="s">
        <v>360</v>
      </c>
      <c r="B103" s="61">
        <f>GASTO_NE_T1+GASTO_E_T1</f>
        <v>820567681.25407302</v>
      </c>
      <c r="C103" s="61">
        <f>GASTO_NE_T2+GASTO_E_T2</f>
        <v>154001008.70327514</v>
      </c>
      <c r="D103" s="61">
        <f>GASTO_NE_T3+GASTO_E_T3</f>
        <v>974568689.95734811</v>
      </c>
      <c r="E103" s="61">
        <f>GASTO_NE_T4+GASTO_E_T4</f>
        <v>662783899.90799975</v>
      </c>
      <c r="F103" s="61">
        <f>GASTO_NE_T5+GASTO_E_T5</f>
        <v>662783899.90799975</v>
      </c>
      <c r="G103" s="61">
        <f>GASTO_NE_T6+GASTO_E_T6</f>
        <v>311784790.04934812</v>
      </c>
    </row>
    <row r="104" spans="1:7" x14ac:dyDescent="0.25">
      <c r="A104" s="58"/>
      <c r="B104" s="65"/>
      <c r="C104" s="65"/>
      <c r="D104" s="65"/>
      <c r="E104" s="65"/>
      <c r="F104" s="65"/>
      <c r="G104" s="78"/>
    </row>
    <row r="105" spans="1:7" hidden="1" x14ac:dyDescent="0.25">
      <c r="A105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103">
      <formula1>-1.79769313486231E+100</formula1>
      <formula2>1.79769313486231E+100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 enableFormatConditionsCalculation="0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647969616.45407307</v>
      </c>
      <c r="Q2" s="18">
        <f>GASTO_NE_T2</f>
        <v>206564643.28327513</v>
      </c>
      <c r="R2" s="18">
        <f>GASTO_NE_T3</f>
        <v>854534259.73734808</v>
      </c>
      <c r="S2" s="18">
        <f>GASTO_NE_T4</f>
        <v>565404283.40799975</v>
      </c>
      <c r="T2" s="18">
        <f>GASTO_NE_T5</f>
        <v>565404283.40799975</v>
      </c>
      <c r="U2" s="18">
        <f>GASTO_NE_T6</f>
        <v>289129976.32934809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172598064.79999998</v>
      </c>
      <c r="Q3" s="18">
        <f>GASTO_E_T2</f>
        <v>-52563634.579999983</v>
      </c>
      <c r="R3" s="18">
        <f>GASTO_E_T3</f>
        <v>120034430.22</v>
      </c>
      <c r="S3" s="18">
        <f>GASTO_E_T4</f>
        <v>97379616.5</v>
      </c>
      <c r="T3" s="18">
        <f>GASTO_E_T5</f>
        <v>97379616.5</v>
      </c>
      <c r="U3" s="18">
        <f>GASTO_E_T6</f>
        <v>22654813.719999999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820567681.25407302</v>
      </c>
      <c r="Q4" s="18">
        <f>TOTAL_E_T2</f>
        <v>154001008.70327514</v>
      </c>
      <c r="R4" s="18">
        <f>TOTAL_E_T3</f>
        <v>974568689.95734811</v>
      </c>
      <c r="S4" s="18">
        <f>TOTAL_E_T4</f>
        <v>662783899.90799975</v>
      </c>
      <c r="T4" s="18">
        <f>TOTAL_E_T5</f>
        <v>662783899.90799975</v>
      </c>
      <c r="U4" s="18">
        <f>TOTAL_E_T6</f>
        <v>311784790.04934812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1:XFC78"/>
  <sheetViews>
    <sheetView showGridLines="0" topLeftCell="B1" zoomScale="90" zoomScaleNormal="90" zoomScalePageLayoutView="90" workbookViewId="0">
      <selection activeCell="G77" sqref="G77"/>
    </sheetView>
  </sheetViews>
  <sheetFormatPr baseColWidth="10" defaultColWidth="0" defaultRowHeight="15" zeroHeight="1" x14ac:dyDescent="0.25"/>
  <cols>
    <col min="1" max="1" width="74.42578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3281</v>
      </c>
      <c r="B1" s="179"/>
      <c r="C1" s="179"/>
      <c r="D1" s="179"/>
      <c r="E1" s="179"/>
      <c r="F1" s="179"/>
      <c r="G1" s="179"/>
    </row>
    <row r="2" spans="1:7" x14ac:dyDescent="0.25">
      <c r="A2" s="153" t="str">
        <f>ENTE_PUBLICO_A</f>
        <v>JUNTA DE AGUA POTABLE DRENAJE ALCANTARILLADO Y SANEAMIENTO DEL MUNICIPIO DE IRAPUATO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31 de diciembre de 2020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3278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x14ac:dyDescent="0.25">
      <c r="A9" s="52" t="s">
        <v>363</v>
      </c>
      <c r="B9" s="70">
        <f>SUM(B10,B19,B27,B37)</f>
        <v>647969616.45407319</v>
      </c>
      <c r="C9" s="70">
        <f t="shared" ref="C9:G9" si="0">SUM(C10,C19,C27,C37)</f>
        <v>206564643.28327492</v>
      </c>
      <c r="D9" s="70">
        <f t="shared" si="0"/>
        <v>854534259.73734808</v>
      </c>
      <c r="E9" s="70">
        <f t="shared" si="0"/>
        <v>565404283.40799999</v>
      </c>
      <c r="F9" s="70">
        <f t="shared" si="0"/>
        <v>565404283.40799999</v>
      </c>
      <c r="G9" s="70">
        <f t="shared" si="0"/>
        <v>289129976.32934809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25">
      <c r="A19" s="53" t="s">
        <v>373</v>
      </c>
      <c r="B19" s="71">
        <f>SUM(B20:B26)</f>
        <v>647969616.45407319</v>
      </c>
      <c r="C19" s="71">
        <f t="shared" ref="C19:F19" si="3">SUM(C20:C26)</f>
        <v>206564643.28327492</v>
      </c>
      <c r="D19" s="71">
        <f t="shared" si="3"/>
        <v>854534259.73734808</v>
      </c>
      <c r="E19" s="71">
        <f t="shared" si="3"/>
        <v>565404283.40799999</v>
      </c>
      <c r="F19" s="71">
        <f t="shared" si="3"/>
        <v>565404283.40799999</v>
      </c>
      <c r="G19" s="71">
        <f>SUM(G20:G26)</f>
        <v>289129976.32934809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647969616.45407319</v>
      </c>
      <c r="C21" s="71">
        <v>206564643.28327492</v>
      </c>
      <c r="D21" s="71">
        <v>854534259.73734808</v>
      </c>
      <c r="E21" s="71">
        <v>565404283.40799999</v>
      </c>
      <c r="F21" s="71">
        <v>565404283.40799999</v>
      </c>
      <c r="G21" s="72">
        <f t="shared" ref="G21:G26" si="4">D21-E21</f>
        <v>289129976.32934809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ht="30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2">
        <f t="shared" si="8"/>
        <v>0</v>
      </c>
    </row>
    <row r="41" spans="1:7" x14ac:dyDescent="0.25">
      <c r="A41" s="69" t="s">
        <v>394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172598064.80000001</v>
      </c>
      <c r="C43" s="73">
        <f t="shared" ref="C43:G43" si="9">SUM(C44,C53,C61,C71)</f>
        <v>-52563634.580000013</v>
      </c>
      <c r="D43" s="73">
        <f t="shared" si="9"/>
        <v>120034430.21999998</v>
      </c>
      <c r="E43" s="73">
        <f t="shared" si="9"/>
        <v>97379616.5</v>
      </c>
      <c r="F43" s="73">
        <f t="shared" si="9"/>
        <v>97379616.5</v>
      </c>
      <c r="G43" s="73">
        <f t="shared" si="9"/>
        <v>22654813.719999984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172598064.80000001</v>
      </c>
      <c r="C53" s="71">
        <f t="shared" ref="C53:G53" si="12">SUM(C54:C60)</f>
        <v>-52563634.580000013</v>
      </c>
      <c r="D53" s="71">
        <f t="shared" si="12"/>
        <v>120034430.21999998</v>
      </c>
      <c r="E53" s="71">
        <f t="shared" si="12"/>
        <v>97379616.5</v>
      </c>
      <c r="F53" s="71">
        <f t="shared" si="12"/>
        <v>97379616.5</v>
      </c>
      <c r="G53" s="71">
        <f t="shared" si="12"/>
        <v>22654813.719999984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172598064.80000001</v>
      </c>
      <c r="C55" s="71">
        <v>-52563634.580000013</v>
      </c>
      <c r="D55" s="71">
        <v>120034430.21999998</v>
      </c>
      <c r="E55" s="71">
        <v>97379616.5</v>
      </c>
      <c r="F55" s="71">
        <v>97379616.5</v>
      </c>
      <c r="G55" s="72">
        <f t="shared" ref="G55:G60" si="13">D55-E55</f>
        <v>22654813.719999984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3291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ht="30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820567681.25407314</v>
      </c>
      <c r="C77" s="73">
        <f t="shared" ref="C77:F77" si="18">C43+C9</f>
        <v>154001008.70327491</v>
      </c>
      <c r="D77" s="73">
        <f t="shared" si="18"/>
        <v>974568689.95734811</v>
      </c>
      <c r="E77" s="73">
        <f t="shared" si="18"/>
        <v>662783899.90799999</v>
      </c>
      <c r="F77" s="73">
        <f t="shared" si="18"/>
        <v>662783899.90799999</v>
      </c>
      <c r="G77" s="73">
        <f>G43+G9</f>
        <v>311784790.04934806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 enableFormatConditionsCalculation="0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647969616.45407319</v>
      </c>
      <c r="Q2" s="18">
        <f>'Formato 6 c)'!C9</f>
        <v>206564643.28327492</v>
      </c>
      <c r="R2" s="18">
        <f>'Formato 6 c)'!D9</f>
        <v>854534259.73734808</v>
      </c>
      <c r="S2" s="18">
        <f>'Formato 6 c)'!E9</f>
        <v>565404283.40799999</v>
      </c>
      <c r="T2" s="18">
        <f>'Formato 6 c)'!F9</f>
        <v>565404283.40799999</v>
      </c>
      <c r="U2" s="18">
        <f>'Formato 6 c)'!G9</f>
        <v>289129976.32934809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647969616.45407319</v>
      </c>
      <c r="Q12" s="18">
        <f>'Formato 6 c)'!C19</f>
        <v>206564643.28327492</v>
      </c>
      <c r="R12" s="18">
        <f>'Formato 6 c)'!D19</f>
        <v>854534259.73734808</v>
      </c>
      <c r="S12" s="18">
        <f>'Formato 6 c)'!E19</f>
        <v>565404283.40799999</v>
      </c>
      <c r="T12" s="18">
        <f>'Formato 6 c)'!F19</f>
        <v>565404283.40799999</v>
      </c>
      <c r="U12" s="18">
        <f>'Formato 6 c)'!G19</f>
        <v>289129976.32934809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647969616.45407319</v>
      </c>
      <c r="Q14" s="18">
        <f>'Formato 6 c)'!C21</f>
        <v>206564643.28327492</v>
      </c>
      <c r="R14" s="18">
        <f>'Formato 6 c)'!D21</f>
        <v>854534259.73734808</v>
      </c>
      <c r="S14" s="18">
        <f>'Formato 6 c)'!E21</f>
        <v>565404283.40799999</v>
      </c>
      <c r="T14" s="18">
        <f>'Formato 6 c)'!F21</f>
        <v>565404283.40799999</v>
      </c>
      <c r="U14" s="18">
        <f>'Formato 6 c)'!G21</f>
        <v>289129976.32934809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172598064.80000001</v>
      </c>
      <c r="Q35" s="18">
        <f>'Formato 6 c)'!C43</f>
        <v>-52563634.580000013</v>
      </c>
      <c r="R35" s="18">
        <f>'Formato 6 c)'!D43</f>
        <v>120034430.21999998</v>
      </c>
      <c r="S35" s="18">
        <f>'Formato 6 c)'!E43</f>
        <v>97379616.5</v>
      </c>
      <c r="T35" s="18">
        <f>'Formato 6 c)'!F43</f>
        <v>97379616.5</v>
      </c>
      <c r="U35" s="18">
        <f>'Formato 6 c)'!G43</f>
        <v>22654813.719999984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172598064.80000001</v>
      </c>
      <c r="Q45" s="18">
        <f>'Formato 6 c)'!C53</f>
        <v>-52563634.580000013</v>
      </c>
      <c r="R45" s="18">
        <f>'Formato 6 c)'!D53</f>
        <v>120034430.21999998</v>
      </c>
      <c r="S45" s="18">
        <f>'Formato 6 c)'!E53</f>
        <v>97379616.5</v>
      </c>
      <c r="T45" s="18">
        <f>'Formato 6 c)'!F53</f>
        <v>97379616.5</v>
      </c>
      <c r="U45" s="18">
        <f>'Formato 6 c)'!G53</f>
        <v>22654813.719999984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172598064.80000001</v>
      </c>
      <c r="Q47" s="18">
        <f>'Formato 6 c)'!C55</f>
        <v>-52563634.580000013</v>
      </c>
      <c r="R47" s="18">
        <f>'Formato 6 c)'!D55</f>
        <v>120034430.21999998</v>
      </c>
      <c r="S47" s="18">
        <f>'Formato 6 c)'!E55</f>
        <v>97379616.5</v>
      </c>
      <c r="T47" s="18">
        <f>'Formato 6 c)'!F55</f>
        <v>97379616.5</v>
      </c>
      <c r="U47" s="18">
        <f>'Formato 6 c)'!G55</f>
        <v>22654813.719999984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820567681.25407314</v>
      </c>
      <c r="Q68" s="18">
        <f>'Formato 6 c)'!C77</f>
        <v>154001008.70327491</v>
      </c>
      <c r="R68" s="18">
        <f>'Formato 6 c)'!D77</f>
        <v>974568689.95734811</v>
      </c>
      <c r="S68" s="18">
        <f>'Formato 6 c)'!E77</f>
        <v>662783899.90799999</v>
      </c>
      <c r="T68" s="18">
        <f>'Formato 6 c)'!F77</f>
        <v>662783899.90799999</v>
      </c>
      <c r="U68" s="18">
        <f>'Formato 6 c)'!G77</f>
        <v>311784790.04934806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 enableFormatConditionsCalculation="0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AGUA POTABLE DRENAJE ALCANTARILLADO Y SANEAMIENTO DEL MUNICIPIO DE IRAPUATO GTO, Gobierno del Estado de Guanajuato</v>
      </c>
    </row>
    <row r="7" spans="2:3" x14ac:dyDescent="0.25">
      <c r="C7" t="str">
        <f>CONCATENATE(ENTE_PUBLICO," (a)")</f>
        <v>JUNTA DE AGUA POTABLE DRENAJE ALCANTARILLADO Y SANEAMIENTO DEL MUNICIPIO DE IRAPUATO GTO, Gobierno del Estado de Guanajuato (a)</v>
      </c>
    </row>
    <row r="8" spans="2:3" ht="27" customHeight="1" x14ac:dyDescent="0.25">
      <c r="B8" t="s">
        <v>787</v>
      </c>
      <c r="C8" s="24" t="s">
        <v>799</v>
      </c>
    </row>
    <row r="10" spans="2:3" ht="25.5" customHeight="1" x14ac:dyDescent="0.25">
      <c r="B10" t="s">
        <v>788</v>
      </c>
      <c r="C10" s="24" t="s">
        <v>1136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Irapuato, Gobierno del Estado de Guanajuato</v>
      </c>
    </row>
    <row r="12" spans="2:3" x14ac:dyDescent="0.25">
      <c r="B12" t="s">
        <v>786</v>
      </c>
      <c r="C12" s="24">
        <v>2020</v>
      </c>
    </row>
    <row r="14" spans="2:3" x14ac:dyDescent="0.25">
      <c r="B14" t="s">
        <v>785</v>
      </c>
      <c r="C14" s="24" t="s">
        <v>3295</v>
      </c>
    </row>
    <row r="15" spans="2:3" x14ac:dyDescent="0.25">
      <c r="C15" s="24">
        <v>4</v>
      </c>
    </row>
    <row r="16" spans="2:3" x14ac:dyDescent="0.25">
      <c r="C16" s="24" t="s">
        <v>3296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2020 (m = g – l)</v>
      </c>
    </row>
    <row r="20" spans="4:9" ht="60" x14ac:dyDescent="0.2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x14ac:dyDescent="0.2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x14ac:dyDescent="0.25">
      <c r="D26" s="92"/>
    </row>
    <row r="29" spans="4:9" x14ac:dyDescent="0.25">
      <c r="D29" t="s">
        <v>3135</v>
      </c>
      <c r="E29" t="s">
        <v>3136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/>
  <dimension ref="A1:G34"/>
  <sheetViews>
    <sheetView showGridLines="0" zoomScale="80" zoomScaleNormal="80" zoomScalePageLayoutView="80" workbookViewId="0">
      <selection activeCell="F33" sqref="F3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42578125" style="16" customWidth="1"/>
    <col min="8" max="16384" width="10.85546875" hidden="1"/>
  </cols>
  <sheetData>
    <row r="1" spans="1:7" ht="54" customHeight="1" x14ac:dyDescent="0.25">
      <c r="A1" s="172" t="s">
        <v>3279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ENTE_PUBLICO_A</f>
        <v>JUNTA DE AGUA POTABLE DRENAJE ALCANTARILLADO Y SANEAMIENTO DEL MUNICIPIO DE IRAPUATO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x14ac:dyDescent="0.25">
      <c r="A5" s="159" t="str">
        <f>TRIMESTRE</f>
        <v>Del 1 de enero al 31 de diciembre de 2020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x14ac:dyDescent="0.25">
      <c r="A9" s="52" t="s">
        <v>400</v>
      </c>
      <c r="B9" s="66">
        <f>SUM(B10,B11,B12,B15,B16,B19)</f>
        <v>118296814.69407301</v>
      </c>
      <c r="C9" s="66">
        <f t="shared" ref="C9:F9" si="0">SUM(C10,C11,C12,C15,C16,C19)</f>
        <v>4.2697787284851074E-4</v>
      </c>
      <c r="D9" s="66">
        <f t="shared" si="0"/>
        <v>118296814.69449998</v>
      </c>
      <c r="E9" s="66">
        <f t="shared" si="0"/>
        <v>111229441.93000004</v>
      </c>
      <c r="F9" s="66">
        <f t="shared" si="0"/>
        <v>111229441.93000004</v>
      </c>
      <c r="G9" s="66">
        <f>SUM(G10,G11,G12,G15,G16,G19)</f>
        <v>7067372.7644999474</v>
      </c>
    </row>
    <row r="10" spans="1:7" x14ac:dyDescent="0.25">
      <c r="A10" s="53" t="s">
        <v>401</v>
      </c>
      <c r="B10" s="67">
        <v>118296814.69407301</v>
      </c>
      <c r="C10" s="67">
        <v>4.2697787284851074E-4</v>
      </c>
      <c r="D10" s="67">
        <v>118296814.69449998</v>
      </c>
      <c r="E10" s="67">
        <v>111229441.93000004</v>
      </c>
      <c r="F10" s="67">
        <v>111229441.93000004</v>
      </c>
      <c r="G10" s="67">
        <f>D10-E10</f>
        <v>7067372.7644999474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118296814.69407301</v>
      </c>
      <c r="C33" s="66">
        <f t="shared" ref="C33:G33" si="9">C21+C9</f>
        <v>4.2697787284851074E-4</v>
      </c>
      <c r="D33" s="66">
        <f t="shared" si="9"/>
        <v>118296814.69449998</v>
      </c>
      <c r="E33" s="66">
        <f t="shared" si="9"/>
        <v>111229441.93000004</v>
      </c>
      <c r="F33" s="66">
        <f t="shared" si="9"/>
        <v>111229441.93000004</v>
      </c>
      <c r="G33" s="66">
        <f t="shared" si="9"/>
        <v>7067372.7644999474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 enableFormatConditionsCalculation="0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118296814.69407301</v>
      </c>
      <c r="Q2" s="18">
        <f>'Formato 6 d)'!C9</f>
        <v>4.2697787284851074E-4</v>
      </c>
      <c r="R2" s="18">
        <f>'Formato 6 d)'!D9</f>
        <v>118296814.69449998</v>
      </c>
      <c r="S2" s="18">
        <f>'Formato 6 d)'!E9</f>
        <v>111229441.93000004</v>
      </c>
      <c r="T2" s="18">
        <f>'Formato 6 d)'!F9</f>
        <v>111229441.93000004</v>
      </c>
      <c r="U2" s="18">
        <f>'Formato 6 d)'!G9</f>
        <v>7067372.7644999474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118296814.69407301</v>
      </c>
      <c r="Q3" s="18">
        <f>'Formato 6 d)'!C10</f>
        <v>4.2697787284851074E-4</v>
      </c>
      <c r="R3" s="18">
        <f>'Formato 6 d)'!D10</f>
        <v>118296814.69449998</v>
      </c>
      <c r="S3" s="18">
        <f>'Formato 6 d)'!E10</f>
        <v>111229441.93000004</v>
      </c>
      <c r="T3" s="18">
        <f>'Formato 6 d)'!F10</f>
        <v>111229441.93000004</v>
      </c>
      <c r="U3" s="18">
        <f>'Formato 6 d)'!G10</f>
        <v>7067372.7644999474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118296814.69407301</v>
      </c>
      <c r="Q24" s="18">
        <f>'Formato 6 d)'!C33</f>
        <v>4.2697787284851074E-4</v>
      </c>
      <c r="R24" s="18">
        <f>'Formato 6 d)'!D33</f>
        <v>118296814.69449998</v>
      </c>
      <c r="S24" s="18">
        <f>'Formato 6 d)'!E33</f>
        <v>111229441.93000004</v>
      </c>
      <c r="T24" s="18">
        <f>'Formato 6 d)'!F33</f>
        <v>111229441.93000004</v>
      </c>
      <c r="U24" s="18">
        <f>'Formato 6 d)'!G33</f>
        <v>7067372.7644999474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G43"/>
  <sheetViews>
    <sheetView showGridLines="0" zoomScale="85" zoomScaleNormal="85" zoomScalePageLayoutView="85" workbookViewId="0">
      <selection activeCell="D15" sqref="D15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1" t="s">
        <v>413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Irapuato,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414</v>
      </c>
      <c r="B3" s="157"/>
      <c r="C3" s="157"/>
      <c r="D3" s="157"/>
      <c r="E3" s="157"/>
      <c r="F3" s="157"/>
      <c r="G3" s="158"/>
    </row>
    <row r="4" spans="1:7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3280</v>
      </c>
      <c r="B6" s="51">
        <f>ANIO1P</f>
        <v>2021</v>
      </c>
      <c r="C6" s="181" t="str">
        <f>ANIO2P</f>
        <v>2022 (d)</v>
      </c>
      <c r="D6" s="181" t="str">
        <f>ANIO3P</f>
        <v>2023 (d)</v>
      </c>
      <c r="E6" s="181" t="str">
        <f>ANIO4P</f>
        <v>2024 (d)</v>
      </c>
      <c r="F6" s="181" t="str">
        <f>ANIO5P</f>
        <v>2025 (d)</v>
      </c>
      <c r="G6" s="181" t="str">
        <f>ANIO6P</f>
        <v>2026 (d)</v>
      </c>
    </row>
    <row r="7" spans="1:7" ht="48" customHeight="1" x14ac:dyDescent="0.25">
      <c r="A7" s="169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531559204.72000003</v>
      </c>
      <c r="C8" s="59">
        <f t="shared" ref="C8:G8" si="0">SUM(C9:C20)</f>
        <v>584715125.18999994</v>
      </c>
      <c r="D8" s="59">
        <f t="shared" si="0"/>
        <v>643186637.70000005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31428495.949999999</v>
      </c>
      <c r="C13" s="60">
        <v>34571345.539999999</v>
      </c>
      <c r="D13" s="60">
        <v>38028480.090000004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22743563.920000002</v>
      </c>
      <c r="C14" s="60">
        <v>25017920.309999999</v>
      </c>
      <c r="D14" s="60">
        <v>27519712.34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477387144.85000002</v>
      </c>
      <c r="C15" s="60">
        <v>525125859.33999997</v>
      </c>
      <c r="D15" s="60">
        <v>577638445.26999998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113703189.15000001</v>
      </c>
      <c r="C22" s="61">
        <f t="shared" ref="C22:G22" si="1">SUM(C23:C27)</f>
        <v>125073508.06</v>
      </c>
      <c r="D22" s="61">
        <f t="shared" si="1"/>
        <v>137580858.87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113703189.15000001</v>
      </c>
      <c r="C23" s="60">
        <v>125073508.06</v>
      </c>
      <c r="D23" s="60">
        <v>137580858.87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645262393.87</v>
      </c>
      <c r="C32" s="61">
        <f t="shared" ref="C32:F32" si="3">C29+C22+C8</f>
        <v>709788633.25</v>
      </c>
      <c r="D32" s="61">
        <f t="shared" si="3"/>
        <v>780767496.57000005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531559204.72000003</v>
      </c>
      <c r="Q2" s="18">
        <f>'Formato 7 a)'!C8</f>
        <v>584715125.18999994</v>
      </c>
      <c r="R2" s="18">
        <f>'Formato 7 a)'!D8</f>
        <v>643186637.70000005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31428495.949999999</v>
      </c>
      <c r="Q7" s="18">
        <f>'Formato 7 a)'!C13</f>
        <v>34571345.539999999</v>
      </c>
      <c r="R7" s="18">
        <f>'Formato 7 a)'!D13</f>
        <v>38028480.090000004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22743563.920000002</v>
      </c>
      <c r="Q8" s="18">
        <f>'Formato 7 a)'!C14</f>
        <v>25017920.309999999</v>
      </c>
      <c r="R8" s="18">
        <f>'Formato 7 a)'!D14</f>
        <v>27519712.34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477387144.85000002</v>
      </c>
      <c r="Q9" s="18">
        <f>'Formato 7 a)'!C15</f>
        <v>525125859.33999997</v>
      </c>
      <c r="R9" s="18">
        <f>'Formato 7 a)'!D15</f>
        <v>577638445.26999998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113703189.15000001</v>
      </c>
      <c r="Q15" s="18">
        <f>'Formato 7 a)'!C22</f>
        <v>125073508.06</v>
      </c>
      <c r="R15" s="18">
        <f>'Formato 7 a)'!D22</f>
        <v>137580858.87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113703189.15000001</v>
      </c>
      <c r="Q16" s="18">
        <f>'Formato 7 a)'!C23</f>
        <v>125073508.06</v>
      </c>
      <c r="R16" s="18">
        <f>'Formato 7 a)'!D23</f>
        <v>137580858.87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645262393.87</v>
      </c>
      <c r="Q23" s="18">
        <f>'Formato 7 a)'!C32</f>
        <v>709788633.25</v>
      </c>
      <c r="R23" s="18">
        <f>'Formato 7 a)'!D32</f>
        <v>780767496.57000005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 enableFormatConditionsCalculation="0"/>
  <dimension ref="A1:G31"/>
  <sheetViews>
    <sheetView showGridLines="0" zoomScale="90" zoomScaleNormal="90" zoomScalePageLayoutView="90" workbookViewId="0">
      <selection activeCell="F29" sqref="F29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1" t="s">
        <v>443</v>
      </c>
      <c r="B1" s="171"/>
      <c r="C1" s="171"/>
      <c r="D1" s="171"/>
      <c r="E1" s="171"/>
      <c r="F1" s="171"/>
      <c r="G1" s="171"/>
    </row>
    <row r="2" spans="1:7" customFormat="1" x14ac:dyDescent="0.25">
      <c r="A2" s="153" t="str">
        <f>ENTIDAD</f>
        <v>Municipio de Irapuato, Gobierno del Estado de Guanajuato</v>
      </c>
      <c r="B2" s="154"/>
      <c r="C2" s="154"/>
      <c r="D2" s="154"/>
      <c r="E2" s="154"/>
      <c r="F2" s="154"/>
      <c r="G2" s="155"/>
    </row>
    <row r="3" spans="1:7" customFormat="1" x14ac:dyDescent="0.25">
      <c r="A3" s="156" t="s">
        <v>444</v>
      </c>
      <c r="B3" s="157"/>
      <c r="C3" s="157"/>
      <c r="D3" s="157"/>
      <c r="E3" s="157"/>
      <c r="F3" s="157"/>
      <c r="G3" s="158"/>
    </row>
    <row r="4" spans="1:7" customFormat="1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customFormat="1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3134</v>
      </c>
      <c r="B6" s="51">
        <f>ANIO1P</f>
        <v>2021</v>
      </c>
      <c r="C6" s="181" t="str">
        <f>ANIO2P</f>
        <v>2022 (d)</v>
      </c>
      <c r="D6" s="181" t="str">
        <f>ANIO3P</f>
        <v>2023 (d)</v>
      </c>
      <c r="E6" s="181" t="str">
        <f>ANIO4P</f>
        <v>2024 (d)</v>
      </c>
      <c r="F6" s="181" t="str">
        <f>ANIO5P</f>
        <v>2025 (d)</v>
      </c>
      <c r="G6" s="181" t="str">
        <f>ANIO6P</f>
        <v>2026 (d)</v>
      </c>
    </row>
    <row r="7" spans="1:7" customFormat="1" ht="48" customHeight="1" x14ac:dyDescent="0.25">
      <c r="A7" s="184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445</v>
      </c>
      <c r="B8" s="59">
        <f>SUM(B9:B17)</f>
        <v>485291587.07999998</v>
      </c>
      <c r="C8" s="59">
        <f t="shared" ref="C8:G8" si="0">SUM(C9:C17)</f>
        <v>499850334.69239998</v>
      </c>
      <c r="D8" s="59">
        <f t="shared" si="0"/>
        <v>514845844.733172</v>
      </c>
      <c r="E8" s="59">
        <f t="shared" si="0"/>
        <v>530291220.07516718</v>
      </c>
      <c r="F8" s="59">
        <f t="shared" si="0"/>
        <v>546199956.67742217</v>
      </c>
      <c r="G8" s="59">
        <f t="shared" si="0"/>
        <v>562585955.37774491</v>
      </c>
    </row>
    <row r="9" spans="1:7" x14ac:dyDescent="0.25">
      <c r="A9" s="53" t="s">
        <v>446</v>
      </c>
      <c r="B9" s="60">
        <v>121845719.13</v>
      </c>
      <c r="C9" s="60">
        <f>B9*1.03</f>
        <v>125501090.70389999</v>
      </c>
      <c r="D9" s="60">
        <f>C9*1.03</f>
        <v>129266123.425017</v>
      </c>
      <c r="E9" s="60">
        <f>D9*1.03</f>
        <v>133144107.12776752</v>
      </c>
      <c r="F9" s="60">
        <f>E9*1.03</f>
        <v>137138430.34160054</v>
      </c>
      <c r="G9" s="60">
        <f>F9*1.03</f>
        <v>141252583.25184855</v>
      </c>
    </row>
    <row r="10" spans="1:7" x14ac:dyDescent="0.25">
      <c r="A10" s="53" t="s">
        <v>447</v>
      </c>
      <c r="B10" s="60">
        <v>46836300.890000001</v>
      </c>
      <c r="C10" s="60">
        <f t="shared" ref="C10:G14" si="1">B10*1.03</f>
        <v>48241389.916700006</v>
      </c>
      <c r="D10" s="60">
        <f t="shared" si="1"/>
        <v>49688631.614201009</v>
      </c>
      <c r="E10" s="60">
        <f t="shared" si="1"/>
        <v>51179290.56262704</v>
      </c>
      <c r="F10" s="60">
        <f t="shared" si="1"/>
        <v>52714669.279505849</v>
      </c>
      <c r="G10" s="60">
        <f t="shared" si="1"/>
        <v>54296109.357891023</v>
      </c>
    </row>
    <row r="11" spans="1:7" x14ac:dyDescent="0.25">
      <c r="A11" s="53" t="s">
        <v>448</v>
      </c>
      <c r="B11" s="60">
        <v>135089836.97999999</v>
      </c>
      <c r="C11" s="60">
        <f t="shared" si="1"/>
        <v>139142532.08939999</v>
      </c>
      <c r="D11" s="60">
        <f t="shared" si="1"/>
        <v>143316808.052082</v>
      </c>
      <c r="E11" s="60">
        <f t="shared" si="1"/>
        <v>147616312.29364446</v>
      </c>
      <c r="F11" s="60">
        <f t="shared" si="1"/>
        <v>152044801.6624538</v>
      </c>
      <c r="G11" s="60">
        <f t="shared" si="1"/>
        <v>156606145.71232742</v>
      </c>
    </row>
    <row r="12" spans="1:7" x14ac:dyDescent="0.25">
      <c r="A12" s="53" t="s">
        <v>449</v>
      </c>
      <c r="B12" s="60">
        <v>6183582.6299999999</v>
      </c>
      <c r="C12" s="60">
        <f t="shared" si="1"/>
        <v>6369090.1089000003</v>
      </c>
      <c r="D12" s="60">
        <f t="shared" si="1"/>
        <v>6560162.812167001</v>
      </c>
      <c r="E12" s="60">
        <f t="shared" si="1"/>
        <v>6756967.696532011</v>
      </c>
      <c r="F12" s="60">
        <f t="shared" si="1"/>
        <v>6959676.7274279715</v>
      </c>
      <c r="G12" s="60">
        <f t="shared" si="1"/>
        <v>7168467.0292508109</v>
      </c>
    </row>
    <row r="13" spans="1:7" x14ac:dyDescent="0.25">
      <c r="A13" s="53" t="s">
        <v>450</v>
      </c>
      <c r="B13" s="60">
        <v>26000000</v>
      </c>
      <c r="C13" s="60">
        <f t="shared" si="1"/>
        <v>26780000</v>
      </c>
      <c r="D13" s="60">
        <f t="shared" si="1"/>
        <v>27583400</v>
      </c>
      <c r="E13" s="60">
        <f t="shared" si="1"/>
        <v>28410902</v>
      </c>
      <c r="F13" s="60">
        <f t="shared" si="1"/>
        <v>29263229.060000002</v>
      </c>
      <c r="G13" s="60">
        <f t="shared" si="1"/>
        <v>30141125.931800004</v>
      </c>
    </row>
    <row r="14" spans="1:7" x14ac:dyDescent="0.25">
      <c r="A14" s="53" t="s">
        <v>451</v>
      </c>
      <c r="B14" s="60">
        <f>154336147.45-5000000</f>
        <v>149336147.44999999</v>
      </c>
      <c r="C14" s="60">
        <f t="shared" si="1"/>
        <v>153816231.87349999</v>
      </c>
      <c r="D14" s="60">
        <f t="shared" si="1"/>
        <v>158430718.829705</v>
      </c>
      <c r="E14" s="60">
        <f t="shared" si="1"/>
        <v>163183640.39459616</v>
      </c>
      <c r="F14" s="60">
        <f t="shared" si="1"/>
        <v>168079149.60643405</v>
      </c>
      <c r="G14" s="60">
        <f t="shared" si="1"/>
        <v>173121524.09462708</v>
      </c>
    </row>
    <row r="15" spans="1:7" x14ac:dyDescent="0.25">
      <c r="A15" s="53" t="s">
        <v>452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453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454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>SUM(B20:B28)</f>
        <v>5000000</v>
      </c>
      <c r="C19" s="61">
        <f t="shared" ref="C19:G19" si="2">SUM(C20:C28)</f>
        <v>5150000</v>
      </c>
      <c r="D19" s="61">
        <f t="shared" si="2"/>
        <v>5304500</v>
      </c>
      <c r="E19" s="61">
        <f t="shared" si="2"/>
        <v>5463635</v>
      </c>
      <c r="F19" s="61">
        <f t="shared" si="2"/>
        <v>5627544.0499999998</v>
      </c>
      <c r="G19" s="61">
        <f t="shared" si="2"/>
        <v>5796370.3715000004</v>
      </c>
    </row>
    <row r="20" spans="1:7" x14ac:dyDescent="0.25">
      <c r="A20" s="53" t="s">
        <v>446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449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451</v>
      </c>
      <c r="B25" s="60">
        <v>5000000</v>
      </c>
      <c r="C25" s="60">
        <f>B25*1.03</f>
        <v>5150000</v>
      </c>
      <c r="D25" s="60">
        <f>C25*1.03</f>
        <v>5304500</v>
      </c>
      <c r="E25" s="60">
        <f>D25*1.03</f>
        <v>5463635</v>
      </c>
      <c r="F25" s="60">
        <f>E25*1.03</f>
        <v>5627544.0499999998</v>
      </c>
      <c r="G25" s="60">
        <f>F25*1.03</f>
        <v>5796370.3715000004</v>
      </c>
    </row>
    <row r="26" spans="1:7" x14ac:dyDescent="0.25">
      <c r="A26" s="53" t="s">
        <v>452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454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>B8+B19</f>
        <v>490291587.07999998</v>
      </c>
      <c r="C30" s="61">
        <f t="shared" ref="C30:G30" si="3">C8+C19</f>
        <v>505000334.69239998</v>
      </c>
      <c r="D30" s="61">
        <f t="shared" si="3"/>
        <v>520150344.733172</v>
      </c>
      <c r="E30" s="61">
        <f t="shared" si="3"/>
        <v>535754855.07516718</v>
      </c>
      <c r="F30" s="61">
        <f t="shared" si="3"/>
        <v>551827500.72742212</v>
      </c>
      <c r="G30" s="61">
        <f t="shared" si="3"/>
        <v>568382325.74924493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485291587.07999998</v>
      </c>
      <c r="Q2" s="18">
        <f>'Formato 7 b)'!C8</f>
        <v>499850334.69239998</v>
      </c>
      <c r="R2" s="18">
        <f>'Formato 7 b)'!D8</f>
        <v>514845844.733172</v>
      </c>
      <c r="S2" s="18">
        <f>'Formato 7 b)'!E8</f>
        <v>530291220.07516718</v>
      </c>
      <c r="T2" s="18">
        <f>'Formato 7 b)'!F8</f>
        <v>546199956.67742217</v>
      </c>
      <c r="U2" s="18">
        <f>'Formato 7 b)'!G8</f>
        <v>562585955.37774491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121845719.13</v>
      </c>
      <c r="Q3" s="18">
        <f>'Formato 7 b)'!C9</f>
        <v>125501090.70389999</v>
      </c>
      <c r="R3" s="18">
        <f>'Formato 7 b)'!D9</f>
        <v>129266123.425017</v>
      </c>
      <c r="S3" s="18">
        <f>'Formato 7 b)'!E9</f>
        <v>133144107.12776752</v>
      </c>
      <c r="T3" s="18">
        <f>'Formato 7 b)'!F9</f>
        <v>137138430.34160054</v>
      </c>
      <c r="U3" s="18">
        <f>'Formato 7 b)'!G9</f>
        <v>141252583.25184855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46836300.890000001</v>
      </c>
      <c r="Q4" s="18">
        <f>'Formato 7 b)'!C10</f>
        <v>48241389.916700006</v>
      </c>
      <c r="R4" s="18">
        <f>'Formato 7 b)'!D10</f>
        <v>49688631.614201009</v>
      </c>
      <c r="S4" s="18">
        <f>'Formato 7 b)'!E10</f>
        <v>51179290.56262704</v>
      </c>
      <c r="T4" s="18">
        <f>'Formato 7 b)'!F10</f>
        <v>52714669.279505849</v>
      </c>
      <c r="U4" s="18">
        <f>'Formato 7 b)'!G10</f>
        <v>54296109.357891023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135089836.97999999</v>
      </c>
      <c r="Q5" s="18">
        <f>'Formato 7 b)'!C11</f>
        <v>139142532.08939999</v>
      </c>
      <c r="R5" s="18">
        <f>'Formato 7 b)'!D11</f>
        <v>143316808.052082</v>
      </c>
      <c r="S5" s="18">
        <f>'Formato 7 b)'!E11</f>
        <v>147616312.29364446</v>
      </c>
      <c r="T5" s="18">
        <f>'Formato 7 b)'!F11</f>
        <v>152044801.6624538</v>
      </c>
      <c r="U5" s="18">
        <f>'Formato 7 b)'!G11</f>
        <v>156606145.71232742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6183582.6299999999</v>
      </c>
      <c r="Q6" s="18">
        <f>'Formato 7 b)'!C12</f>
        <v>6369090.1089000003</v>
      </c>
      <c r="R6" s="18">
        <f>'Formato 7 b)'!D12</f>
        <v>6560162.812167001</v>
      </c>
      <c r="S6" s="18">
        <f>'Formato 7 b)'!E12</f>
        <v>6756967.696532011</v>
      </c>
      <c r="T6" s="18">
        <f>'Formato 7 b)'!F12</f>
        <v>6959676.7274279715</v>
      </c>
      <c r="U6" s="18">
        <f>'Formato 7 b)'!G12</f>
        <v>7168467.0292508109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26000000</v>
      </c>
      <c r="Q7" s="18">
        <f>'Formato 7 b)'!C13</f>
        <v>26780000</v>
      </c>
      <c r="R7" s="18">
        <f>'Formato 7 b)'!D13</f>
        <v>27583400</v>
      </c>
      <c r="S7" s="18">
        <f>'Formato 7 b)'!E13</f>
        <v>28410902</v>
      </c>
      <c r="T7" s="18">
        <f>'Formato 7 b)'!F13</f>
        <v>29263229.060000002</v>
      </c>
      <c r="U7" s="18">
        <f>'Formato 7 b)'!G13</f>
        <v>30141125.931800004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149336147.44999999</v>
      </c>
      <c r="Q8" s="18">
        <f>'Formato 7 b)'!C14</f>
        <v>153816231.87349999</v>
      </c>
      <c r="R8" s="18">
        <f>'Formato 7 b)'!D14</f>
        <v>158430718.829705</v>
      </c>
      <c r="S8" s="18">
        <f>'Formato 7 b)'!E14</f>
        <v>163183640.39459616</v>
      </c>
      <c r="T8" s="18">
        <f>'Formato 7 b)'!F14</f>
        <v>168079149.60643405</v>
      </c>
      <c r="U8" s="18">
        <f>'Formato 7 b)'!G14</f>
        <v>173121524.09462708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5000000</v>
      </c>
      <c r="Q12" s="18">
        <f>'Formato 7 b)'!C19</f>
        <v>5150000</v>
      </c>
      <c r="R12" s="18">
        <f>'Formato 7 b)'!D19</f>
        <v>5304500</v>
      </c>
      <c r="S12" s="18">
        <f>'Formato 7 b)'!E19</f>
        <v>5463635</v>
      </c>
      <c r="T12" s="18">
        <f>'Formato 7 b)'!F19</f>
        <v>5627544.0499999998</v>
      </c>
      <c r="U12" s="18">
        <f>'Formato 7 b)'!G19</f>
        <v>5796370.3715000004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5000000</v>
      </c>
      <c r="Q18" s="18">
        <f>'Formato 7 b)'!C25</f>
        <v>5150000</v>
      </c>
      <c r="R18" s="18">
        <f>'Formato 7 b)'!D25</f>
        <v>5304500</v>
      </c>
      <c r="S18" s="18">
        <f>'Formato 7 b)'!E25</f>
        <v>5463635</v>
      </c>
      <c r="T18" s="18">
        <f>'Formato 7 b)'!F25</f>
        <v>5627544.0499999998</v>
      </c>
      <c r="U18" s="18">
        <f>'Formato 7 b)'!G25</f>
        <v>5796370.3715000004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490291587.07999998</v>
      </c>
      <c r="Q22" s="18">
        <f>'Formato 7 b)'!C30</f>
        <v>505000334.69239998</v>
      </c>
      <c r="R22" s="18">
        <f>'Formato 7 b)'!D30</f>
        <v>520150344.733172</v>
      </c>
      <c r="S22" s="18">
        <f>'Formato 7 b)'!E30</f>
        <v>535754855.07516718</v>
      </c>
      <c r="T22" s="18">
        <f>'Formato 7 b)'!F30</f>
        <v>551827500.72742212</v>
      </c>
      <c r="U22" s="18">
        <f>'Formato 7 b)'!G30</f>
        <v>568382325.74924493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/>
  <dimension ref="A1:G47"/>
  <sheetViews>
    <sheetView showGridLines="0" topLeftCell="B10" zoomScale="125" zoomScaleNormal="125" zoomScalePageLayoutView="125" workbookViewId="0">
      <selection activeCell="E15" sqref="E1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458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Irapuato,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459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3280</v>
      </c>
      <c r="B5" s="186" t="str">
        <f>ANIO5R</f>
        <v>2015 ¹ (c)</v>
      </c>
      <c r="C5" s="186" t="str">
        <f>ANIO4R</f>
        <v>2016 ¹ (c)</v>
      </c>
      <c r="D5" s="186" t="str">
        <f>ANIO3R</f>
        <v>2017 ¹ (c)</v>
      </c>
      <c r="E5" s="186" t="str">
        <f>ANIO2R</f>
        <v>2018 ¹ (c)</v>
      </c>
      <c r="F5" s="186" t="str">
        <f>ANIO1R</f>
        <v>2019 ¹ (c)</v>
      </c>
      <c r="G5" s="51">
        <f>ANIO_INFORME</f>
        <v>2020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3286</v>
      </c>
    </row>
    <row r="7" spans="1:7" x14ac:dyDescent="0.25">
      <c r="A7" s="52" t="s">
        <v>460</v>
      </c>
      <c r="B7" s="59">
        <f>SUM(B8:B19)</f>
        <v>331977887.26999998</v>
      </c>
      <c r="C7" s="59">
        <f t="shared" ref="C7:G7" si="0">SUM(C8:C19)</f>
        <v>373817893.10000002</v>
      </c>
      <c r="D7" s="59">
        <f t="shared" si="0"/>
        <v>410576238.33999997</v>
      </c>
      <c r="E7" s="59">
        <f t="shared" si="0"/>
        <v>437042126.98281258</v>
      </c>
      <c r="F7" s="59">
        <f t="shared" si="0"/>
        <v>473131306.56</v>
      </c>
      <c r="G7" s="59">
        <f t="shared" si="0"/>
        <v>483235640.58999997</v>
      </c>
    </row>
    <row r="8" spans="1:7" x14ac:dyDescent="0.25">
      <c r="A8" s="53" t="s">
        <v>461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462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463</v>
      </c>
      <c r="B10" s="60">
        <v>0</v>
      </c>
      <c r="C10" s="60">
        <v>0</v>
      </c>
      <c r="D10" s="60">
        <v>1907916.07</v>
      </c>
      <c r="E10" s="60">
        <v>0</v>
      </c>
      <c r="F10" s="60">
        <v>10193326.83</v>
      </c>
      <c r="G10" s="60">
        <v>0</v>
      </c>
    </row>
    <row r="11" spans="1:7" x14ac:dyDescent="0.25">
      <c r="A11" s="53" t="s">
        <v>464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465</v>
      </c>
      <c r="B12" s="60">
        <v>4355.17</v>
      </c>
      <c r="C12" s="60">
        <v>117325</v>
      </c>
      <c r="D12" s="60">
        <v>1338896.3400000001</v>
      </c>
      <c r="E12" s="60">
        <v>0</v>
      </c>
      <c r="F12" s="60">
        <v>32872879.5</v>
      </c>
      <c r="G12" s="60">
        <v>28571359.949999999</v>
      </c>
    </row>
    <row r="13" spans="1:7" x14ac:dyDescent="0.25">
      <c r="A13" s="56" t="s">
        <v>466</v>
      </c>
      <c r="B13" s="60">
        <v>115679765.8</v>
      </c>
      <c r="C13" s="60">
        <v>157284045.69999999</v>
      </c>
      <c r="D13" s="60">
        <v>48411016.899999999</v>
      </c>
      <c r="E13" s="60">
        <v>24243910</v>
      </c>
      <c r="F13" s="60">
        <v>0</v>
      </c>
      <c r="G13" s="60">
        <v>20675967.199999999</v>
      </c>
    </row>
    <row r="14" spans="1:7" x14ac:dyDescent="0.25">
      <c r="A14" s="53" t="s">
        <v>467</v>
      </c>
      <c r="B14" s="60">
        <v>216293766.30000001</v>
      </c>
      <c r="C14" s="60">
        <v>216416522.40000001</v>
      </c>
      <c r="D14" s="60">
        <v>358918409.02999997</v>
      </c>
      <c r="E14" s="60">
        <v>412798216.98281258</v>
      </c>
      <c r="F14" s="60">
        <v>430065100.23000002</v>
      </c>
      <c r="G14" s="60">
        <v>433988313.44</v>
      </c>
    </row>
    <row r="15" spans="1:7" x14ac:dyDescent="0.25">
      <c r="A15" s="53" t="s">
        <v>468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>SUM(B22:B26)</f>
        <v>62522751.490000002</v>
      </c>
      <c r="C21" s="61">
        <f t="shared" ref="C21:G21" si="1">SUM(C22:C26)</f>
        <v>83357438.459999993</v>
      </c>
      <c r="D21" s="61">
        <f t="shared" si="1"/>
        <v>85688641.209999993</v>
      </c>
      <c r="E21" s="61">
        <f t="shared" si="1"/>
        <v>106851039</v>
      </c>
      <c r="F21" s="61">
        <f t="shared" si="1"/>
        <v>99599862.489999995</v>
      </c>
      <c r="G21" s="61">
        <f t="shared" si="1"/>
        <v>103366535.59</v>
      </c>
    </row>
    <row r="22" spans="1:7" x14ac:dyDescent="0.25">
      <c r="A22" s="53" t="s">
        <v>472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103366535.59</v>
      </c>
    </row>
    <row r="23" spans="1:7" x14ac:dyDescent="0.25">
      <c r="A23" s="53" t="s">
        <v>473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474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475</v>
      </c>
      <c r="B25" s="60">
        <v>0</v>
      </c>
      <c r="C25" s="60">
        <v>0</v>
      </c>
      <c r="D25" s="60">
        <v>0</v>
      </c>
      <c r="E25" s="60">
        <v>0</v>
      </c>
      <c r="F25" s="60">
        <v>99599862.489999995</v>
      </c>
      <c r="G25" s="60">
        <v>0</v>
      </c>
    </row>
    <row r="26" spans="1:7" x14ac:dyDescent="0.25">
      <c r="A26" s="53" t="s">
        <v>476</v>
      </c>
      <c r="B26" s="60">
        <v>62522751.490000002</v>
      </c>
      <c r="C26" s="60">
        <v>83357438.459999993</v>
      </c>
      <c r="D26" s="60">
        <v>85688641.209999993</v>
      </c>
      <c r="E26" s="60">
        <v>106851039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>B7+B21+B28</f>
        <v>394500638.75999999</v>
      </c>
      <c r="C31" s="61">
        <f t="shared" ref="C31:G31" si="3">C7+C21+C28</f>
        <v>457175331.56</v>
      </c>
      <c r="D31" s="61">
        <f t="shared" si="3"/>
        <v>496264879.54999995</v>
      </c>
      <c r="E31" s="61">
        <f t="shared" si="3"/>
        <v>543893165.98281264</v>
      </c>
      <c r="F31" s="61">
        <f t="shared" si="3"/>
        <v>572731169.04999995</v>
      </c>
      <c r="G31" s="61">
        <f t="shared" si="3"/>
        <v>586602176.17999995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480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481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3284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3285</v>
      </c>
      <c r="B40" s="185"/>
      <c r="C40" s="185"/>
      <c r="D40" s="185"/>
      <c r="E40" s="185"/>
      <c r="F40" s="185"/>
      <c r="G40" s="185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331977887.26999998</v>
      </c>
      <c r="Q2" s="18">
        <f>'Formato 7 c)'!C7</f>
        <v>373817893.10000002</v>
      </c>
      <c r="R2" s="18">
        <f>'Formato 7 c)'!D7</f>
        <v>410576238.33999997</v>
      </c>
      <c r="S2" s="18">
        <f>'Formato 7 c)'!E7</f>
        <v>437042126.98281258</v>
      </c>
      <c r="T2" s="18">
        <f>'Formato 7 c)'!F7</f>
        <v>473131306.56</v>
      </c>
      <c r="U2" s="18">
        <f>'Formato 7 c)'!G7</f>
        <v>483235640.58999997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</v>
      </c>
      <c r="Q5" s="18">
        <f>'Formato 7 c)'!C10</f>
        <v>0</v>
      </c>
      <c r="R5" s="18">
        <f>'Formato 7 c)'!D10</f>
        <v>1907916.07</v>
      </c>
      <c r="S5" s="18">
        <f>'Formato 7 c)'!E10</f>
        <v>0</v>
      </c>
      <c r="T5" s="18">
        <f>'Formato 7 c)'!F10</f>
        <v>10193326.83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4355.17</v>
      </c>
      <c r="Q7" s="18">
        <f>'Formato 7 c)'!C12</f>
        <v>117325</v>
      </c>
      <c r="R7" s="18">
        <f>'Formato 7 c)'!D12</f>
        <v>1338896.3400000001</v>
      </c>
      <c r="S7" s="18">
        <f>'Formato 7 c)'!E12</f>
        <v>0</v>
      </c>
      <c r="T7" s="18">
        <f>'Formato 7 c)'!F12</f>
        <v>32872879.5</v>
      </c>
      <c r="U7" s="18">
        <f>'Formato 7 c)'!G12</f>
        <v>28571359.949999999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115679765.8</v>
      </c>
      <c r="Q8" s="18">
        <f>'Formato 7 c)'!C13</f>
        <v>157284045.69999999</v>
      </c>
      <c r="R8" s="18">
        <f>'Formato 7 c)'!D13</f>
        <v>48411016.899999999</v>
      </c>
      <c r="S8" s="18">
        <f>'Formato 7 c)'!E13</f>
        <v>24243910</v>
      </c>
      <c r="T8" s="18">
        <f>'Formato 7 c)'!F13</f>
        <v>0</v>
      </c>
      <c r="U8" s="18">
        <f>'Formato 7 c)'!G13</f>
        <v>20675967.199999999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216293766.30000001</v>
      </c>
      <c r="Q9" s="18">
        <f>'Formato 7 c)'!C14</f>
        <v>216416522.40000001</v>
      </c>
      <c r="R9" s="18">
        <f>'Formato 7 c)'!D14</f>
        <v>358918409.02999997</v>
      </c>
      <c r="S9" s="18">
        <f>'Formato 7 c)'!E14</f>
        <v>412798216.98281258</v>
      </c>
      <c r="T9" s="18">
        <f>'Formato 7 c)'!F14</f>
        <v>430065100.23000002</v>
      </c>
      <c r="U9" s="18">
        <f>'Formato 7 c)'!G14</f>
        <v>433988313.44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62522751.490000002</v>
      </c>
      <c r="Q15" s="18">
        <f>'Formato 7 c)'!C21</f>
        <v>83357438.459999993</v>
      </c>
      <c r="R15" s="18">
        <f>'Formato 7 c)'!D21</f>
        <v>85688641.209999993</v>
      </c>
      <c r="S15" s="18">
        <f>'Formato 7 c)'!E21</f>
        <v>106851039</v>
      </c>
      <c r="T15" s="18">
        <f>'Formato 7 c)'!F21</f>
        <v>99599862.489999995</v>
      </c>
      <c r="U15" s="18">
        <f>'Formato 7 c)'!G21</f>
        <v>103366535.59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103366535.59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99599862.489999995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62522751.490000002</v>
      </c>
      <c r="Q20" s="18">
        <f>'Formato 7 c)'!C26</f>
        <v>83357438.459999993</v>
      </c>
      <c r="R20" s="18">
        <f>'Formato 7 c)'!D26</f>
        <v>85688641.209999993</v>
      </c>
      <c r="S20" s="18">
        <f>'Formato 7 c)'!E26</f>
        <v>106851039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394500638.75999999</v>
      </c>
      <c r="Q23" s="18">
        <f>'Formato 7 c)'!C31</f>
        <v>457175331.56</v>
      </c>
      <c r="R23" s="18">
        <f>'Formato 7 c)'!D31</f>
        <v>496264879.54999995</v>
      </c>
      <c r="S23" s="18">
        <f>'Formato 7 c)'!E31</f>
        <v>543893165.98281264</v>
      </c>
      <c r="T23" s="18">
        <f>'Formato 7 c)'!F31</f>
        <v>572731169.04999995</v>
      </c>
      <c r="U23" s="18">
        <f>'Formato 7 c)'!G31</f>
        <v>586602176.17999995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/>
  <dimension ref="A1:G33"/>
  <sheetViews>
    <sheetView showGridLines="0" zoomScale="90" zoomScaleNormal="90" zoomScalePageLayoutView="90" workbookViewId="0">
      <selection activeCell="A32" sqref="A32:G3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482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Irapuato,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483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3134</v>
      </c>
      <c r="B5" s="186" t="str">
        <f>ANIO5R</f>
        <v>2015 ¹ (c)</v>
      </c>
      <c r="C5" s="186" t="str">
        <f>ANIO4R</f>
        <v>2016 ¹ (c)</v>
      </c>
      <c r="D5" s="186" t="str">
        <f>ANIO3R</f>
        <v>2017 ¹ (c)</v>
      </c>
      <c r="E5" s="186" t="str">
        <f>ANIO2R</f>
        <v>2018 ¹ (c)</v>
      </c>
      <c r="F5" s="186" t="str">
        <f>ANIO1R</f>
        <v>2019 ¹ (c)</v>
      </c>
      <c r="G5" s="51">
        <f>ANIO_INFORME</f>
        <v>2020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3287</v>
      </c>
    </row>
    <row r="7" spans="1:7" x14ac:dyDescent="0.25">
      <c r="A7" s="52" t="s">
        <v>484</v>
      </c>
      <c r="B7" s="59">
        <f>SUM(B8:B16)</f>
        <v>240160814.0686</v>
      </c>
      <c r="C7" s="59">
        <f t="shared" ref="C7:G7" si="0">SUM(C8:C16)</f>
        <v>249991140.69999999</v>
      </c>
      <c r="D7" s="59">
        <f t="shared" si="0"/>
        <v>281480929.83240008</v>
      </c>
      <c r="E7" s="59">
        <f t="shared" si="0"/>
        <v>326159206.70920002</v>
      </c>
      <c r="F7" s="59">
        <f t="shared" si="0"/>
        <v>461254022.40500009</v>
      </c>
      <c r="G7" s="59">
        <f t="shared" si="0"/>
        <v>565404283.40799999</v>
      </c>
    </row>
    <row r="8" spans="1:7" x14ac:dyDescent="0.25">
      <c r="A8" s="53" t="s">
        <v>446</v>
      </c>
      <c r="B8" s="60">
        <v>104681954.33</v>
      </c>
      <c r="C8" s="60">
        <v>105325635.65000001</v>
      </c>
      <c r="D8" s="60">
        <v>105209381.61000007</v>
      </c>
      <c r="E8" s="60">
        <v>109213604.25999998</v>
      </c>
      <c r="F8" s="60">
        <v>111808624.745</v>
      </c>
      <c r="G8" s="60">
        <v>111229441.93000001</v>
      </c>
    </row>
    <row r="9" spans="1:7" x14ac:dyDescent="0.25">
      <c r="A9" s="53" t="s">
        <v>447</v>
      </c>
      <c r="B9" s="60">
        <v>21930754.024999999</v>
      </c>
      <c r="C9" s="60">
        <v>27487458.210000001</v>
      </c>
      <c r="D9" s="60">
        <v>40457820.490000002</v>
      </c>
      <c r="E9" s="60">
        <v>52230376.329200022</v>
      </c>
      <c r="F9" s="60">
        <v>43535262.189999998</v>
      </c>
      <c r="G9" s="60">
        <v>55510489.828000009</v>
      </c>
    </row>
    <row r="10" spans="1:7" x14ac:dyDescent="0.25">
      <c r="A10" s="53" t="s">
        <v>448</v>
      </c>
      <c r="B10" s="60">
        <v>95433730.393600002</v>
      </c>
      <c r="C10" s="60">
        <v>101644850.63</v>
      </c>
      <c r="D10" s="60">
        <v>119622372.21240003</v>
      </c>
      <c r="E10" s="60">
        <v>138567278.08000004</v>
      </c>
      <c r="F10" s="60">
        <v>140658440.15000001</v>
      </c>
      <c r="G10" s="60">
        <v>135702512.24000001</v>
      </c>
    </row>
    <row r="11" spans="1:7" x14ac:dyDescent="0.25">
      <c r="A11" s="53" t="s">
        <v>449</v>
      </c>
      <c r="B11" s="60">
        <v>683412.22</v>
      </c>
      <c r="C11" s="60">
        <v>548456.6</v>
      </c>
      <c r="D11" s="60">
        <v>789898.60999999987</v>
      </c>
      <c r="E11" s="60">
        <v>1082210.2</v>
      </c>
      <c r="F11" s="60">
        <v>736288.91</v>
      </c>
      <c r="G11" s="60">
        <v>1899670</v>
      </c>
    </row>
    <row r="12" spans="1:7" x14ac:dyDescent="0.25">
      <c r="A12" s="53" t="s">
        <v>450</v>
      </c>
      <c r="B12" s="60">
        <v>14786128.650000006</v>
      </c>
      <c r="C12" s="60">
        <v>14984739.609999999</v>
      </c>
      <c r="D12" s="60">
        <v>15384935.019999998</v>
      </c>
      <c r="E12" s="60">
        <v>23203027.810000002</v>
      </c>
      <c r="F12" s="60">
        <v>10990609.57</v>
      </c>
      <c r="G12" s="60">
        <v>24610942.259999998</v>
      </c>
    </row>
    <row r="13" spans="1:7" x14ac:dyDescent="0.25">
      <c r="A13" s="53" t="s">
        <v>451</v>
      </c>
      <c r="B13" s="60">
        <v>0</v>
      </c>
      <c r="C13" s="60">
        <v>0</v>
      </c>
      <c r="D13" s="60"/>
      <c r="E13" s="60"/>
      <c r="F13" s="60">
        <v>79998201.540000007</v>
      </c>
      <c r="G13" s="60">
        <v>176525835.42999998</v>
      </c>
    </row>
    <row r="14" spans="1:7" x14ac:dyDescent="0.25">
      <c r="A14" s="53" t="s">
        <v>452</v>
      </c>
      <c r="B14" s="60"/>
      <c r="C14" s="60">
        <v>0</v>
      </c>
      <c r="D14" s="60"/>
      <c r="E14" s="60"/>
      <c r="F14" s="60">
        <v>43556000</v>
      </c>
      <c r="G14" s="60">
        <v>59693431.260000005</v>
      </c>
    </row>
    <row r="15" spans="1:7" x14ac:dyDescent="0.25">
      <c r="A15" s="53" t="s">
        <v>453</v>
      </c>
      <c r="B15" s="60">
        <v>0</v>
      </c>
      <c r="C15" s="60">
        <v>0</v>
      </c>
      <c r="D15" s="60">
        <v>16521.89</v>
      </c>
      <c r="E15" s="60">
        <v>1862710.03</v>
      </c>
      <c r="F15" s="60">
        <v>29970595.300000001</v>
      </c>
      <c r="G15" s="60">
        <v>231960.46</v>
      </c>
    </row>
    <row r="16" spans="1:7" x14ac:dyDescent="0.25">
      <c r="A16" s="53" t="s">
        <v>454</v>
      </c>
      <c r="B16" s="60">
        <v>2644834.4500000002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485</v>
      </c>
      <c r="B18" s="61">
        <f>SUM(B19:B27)</f>
        <v>44623231.243999995</v>
      </c>
      <c r="C18" s="61">
        <f t="shared" ref="C18:G18" si="1">SUM(C19:C27)</f>
        <v>73582559.870000005</v>
      </c>
      <c r="D18" s="61">
        <f t="shared" si="1"/>
        <v>75155721.780000001</v>
      </c>
      <c r="E18" s="61">
        <f t="shared" si="1"/>
        <v>138826523</v>
      </c>
      <c r="F18" s="61">
        <f t="shared" si="1"/>
        <v>115518199.29000001</v>
      </c>
      <c r="G18" s="61">
        <f t="shared" si="1"/>
        <v>97379616.5</v>
      </c>
    </row>
    <row r="19" spans="1:7" x14ac:dyDescent="0.25">
      <c r="A19" s="53" t="s">
        <v>446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447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4032373.5900000003</v>
      </c>
    </row>
    <row r="21" spans="1:7" x14ac:dyDescent="0.25">
      <c r="A21" s="53" t="s">
        <v>448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450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3636685.18</v>
      </c>
    </row>
    <row r="24" spans="1:7" x14ac:dyDescent="0.25">
      <c r="A24" s="53" t="s">
        <v>451</v>
      </c>
      <c r="B24" s="60">
        <v>44623231.243999995</v>
      </c>
      <c r="C24" s="60">
        <v>73582559.870000005</v>
      </c>
      <c r="D24" s="60">
        <v>75155721.780000001</v>
      </c>
      <c r="E24" s="60">
        <v>138826523</v>
      </c>
      <c r="F24" s="60">
        <v>115518199.29000001</v>
      </c>
      <c r="G24" s="60">
        <v>89710557.730000004</v>
      </c>
    </row>
    <row r="25" spans="1:7" x14ac:dyDescent="0.25">
      <c r="A25" s="53" t="s">
        <v>452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>B7+B18</f>
        <v>284784045.31260002</v>
      </c>
      <c r="C29" s="60">
        <f t="shared" ref="C29:G29" si="2">C7+C18</f>
        <v>323573700.56999999</v>
      </c>
      <c r="D29" s="60">
        <f t="shared" si="2"/>
        <v>356636651.61240005</v>
      </c>
      <c r="E29" s="60">
        <f t="shared" si="2"/>
        <v>464985729.70920002</v>
      </c>
      <c r="F29" s="60">
        <f t="shared" si="2"/>
        <v>576772221.69500005</v>
      </c>
      <c r="G29" s="60">
        <f t="shared" si="2"/>
        <v>662783899.90799999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3284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3285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240160814.0686</v>
      </c>
      <c r="Q2" s="18">
        <f>'Formato 7 d)'!C7</f>
        <v>249991140.69999999</v>
      </c>
      <c r="R2" s="18">
        <f>'Formato 7 d)'!D7</f>
        <v>281480929.83240008</v>
      </c>
      <c r="S2" s="18">
        <f>'Formato 7 d)'!E7</f>
        <v>326159206.70920002</v>
      </c>
      <c r="T2" s="18">
        <f>'Formato 7 d)'!F7</f>
        <v>461254022.40500009</v>
      </c>
      <c r="U2" s="18">
        <f>'Formato 7 d)'!G7</f>
        <v>565404283.40799999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104681954.33</v>
      </c>
      <c r="Q3" s="18">
        <f>'Formato 7 d)'!C8</f>
        <v>105325635.65000001</v>
      </c>
      <c r="R3" s="18">
        <f>'Formato 7 d)'!D8</f>
        <v>105209381.61000007</v>
      </c>
      <c r="S3" s="18">
        <f>'Formato 7 d)'!E8</f>
        <v>109213604.25999998</v>
      </c>
      <c r="T3" s="18">
        <f>'Formato 7 d)'!F8</f>
        <v>111808624.745</v>
      </c>
      <c r="U3" s="18">
        <f>'Formato 7 d)'!G8</f>
        <v>111229441.93000001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21930754.024999999</v>
      </c>
      <c r="Q4" s="18">
        <f>'Formato 7 d)'!C9</f>
        <v>27487458.210000001</v>
      </c>
      <c r="R4" s="18">
        <f>'Formato 7 d)'!D9</f>
        <v>40457820.490000002</v>
      </c>
      <c r="S4" s="18">
        <f>'Formato 7 d)'!E9</f>
        <v>52230376.329200022</v>
      </c>
      <c r="T4" s="18">
        <f>'Formato 7 d)'!F9</f>
        <v>43535262.189999998</v>
      </c>
      <c r="U4" s="18">
        <f>'Formato 7 d)'!G9</f>
        <v>55510489.828000009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95433730.393600002</v>
      </c>
      <c r="Q5" s="18">
        <f>'Formato 7 d)'!C10</f>
        <v>101644850.63</v>
      </c>
      <c r="R5" s="18">
        <f>'Formato 7 d)'!D10</f>
        <v>119622372.21240003</v>
      </c>
      <c r="S5" s="18">
        <f>'Formato 7 d)'!E10</f>
        <v>138567278.08000004</v>
      </c>
      <c r="T5" s="18">
        <f>'Formato 7 d)'!F10</f>
        <v>140658440.15000001</v>
      </c>
      <c r="U5" s="18">
        <f>'Formato 7 d)'!G10</f>
        <v>135702512.24000001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683412.22</v>
      </c>
      <c r="Q6" s="18">
        <f>'Formato 7 d)'!C11</f>
        <v>548456.6</v>
      </c>
      <c r="R6" s="18">
        <f>'Formato 7 d)'!D11</f>
        <v>789898.60999999987</v>
      </c>
      <c r="S6" s="18">
        <f>'Formato 7 d)'!E11</f>
        <v>1082210.2</v>
      </c>
      <c r="T6" s="18">
        <f>'Formato 7 d)'!F11</f>
        <v>736288.91</v>
      </c>
      <c r="U6" s="18">
        <f>'Formato 7 d)'!G11</f>
        <v>1899670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14786128.650000006</v>
      </c>
      <c r="Q7" s="18">
        <f>'Formato 7 d)'!C12</f>
        <v>14984739.609999999</v>
      </c>
      <c r="R7" s="18">
        <f>'Formato 7 d)'!D12</f>
        <v>15384935.019999998</v>
      </c>
      <c r="S7" s="18">
        <f>'Formato 7 d)'!E12</f>
        <v>23203027.810000002</v>
      </c>
      <c r="T7" s="18">
        <f>'Formato 7 d)'!F12</f>
        <v>10990609.57</v>
      </c>
      <c r="U7" s="18">
        <f>'Formato 7 d)'!G12</f>
        <v>24610942.259999998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79998201.540000007</v>
      </c>
      <c r="U8" s="18">
        <f>'Formato 7 d)'!G13</f>
        <v>176525835.42999998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43556000</v>
      </c>
      <c r="U9" s="18">
        <f>'Formato 7 d)'!G14</f>
        <v>59693431.260000005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16521.89</v>
      </c>
      <c r="S10" s="18">
        <f>'Formato 7 d)'!E15</f>
        <v>1862710.03</v>
      </c>
      <c r="T10" s="18">
        <f>'Formato 7 d)'!F15</f>
        <v>29970595.300000001</v>
      </c>
      <c r="U10" s="18">
        <f>'Formato 7 d)'!G15</f>
        <v>231960.46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2644834.4500000002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44623231.243999995</v>
      </c>
      <c r="Q12" s="18">
        <f>'Formato 7 d)'!C18</f>
        <v>73582559.870000005</v>
      </c>
      <c r="R12" s="18">
        <f>'Formato 7 d)'!D18</f>
        <v>75155721.780000001</v>
      </c>
      <c r="S12" s="18">
        <f>'Formato 7 d)'!E18</f>
        <v>138826523</v>
      </c>
      <c r="T12" s="18">
        <f>'Formato 7 d)'!F18</f>
        <v>115518199.29000001</v>
      </c>
      <c r="U12" s="18">
        <f>'Formato 7 d)'!G18</f>
        <v>97379616.5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4032373.5900000003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3636685.18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44623231.243999995</v>
      </c>
      <c r="Q18" s="18">
        <f>'Formato 7 d)'!C24</f>
        <v>73582559.870000005</v>
      </c>
      <c r="R18" s="18">
        <f>'Formato 7 d)'!D24</f>
        <v>75155721.780000001</v>
      </c>
      <c r="S18" s="18">
        <f>'Formato 7 d)'!E24</f>
        <v>138826523</v>
      </c>
      <c r="T18" s="18">
        <f>'Formato 7 d)'!F24</f>
        <v>115518199.29000001</v>
      </c>
      <c r="U18" s="18">
        <f>'Formato 7 d)'!G24</f>
        <v>89710557.730000004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284784045.31260002</v>
      </c>
      <c r="Q22" s="18">
        <f>'Formato 7 d)'!C29</f>
        <v>323573700.56999999</v>
      </c>
      <c r="R22" s="18">
        <f>'Formato 7 d)'!D29</f>
        <v>356636651.61240005</v>
      </c>
      <c r="S22" s="18">
        <f>'Formato 7 d)'!E29</f>
        <v>464985729.70920002</v>
      </c>
      <c r="T22" s="18">
        <f>'Formato 7 d)'!F29</f>
        <v>576772221.69500005</v>
      </c>
      <c r="U22" s="18">
        <f>'Formato 7 d)'!G29</f>
        <v>662783899.90799999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BO572"/>
  <sheetViews>
    <sheetView topLeftCell="A37" zoomScale="115" zoomScaleNormal="115" zoomScalePageLayoutView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42578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42578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42578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42578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x14ac:dyDescent="0.2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enableFormatConditionsCalculation="0"/>
  <dimension ref="A1:XFC67"/>
  <sheetViews>
    <sheetView showGridLines="0" zoomScale="90" zoomScaleNormal="90" zoomScalePageLayoutView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487</v>
      </c>
      <c r="B1" s="165"/>
      <c r="C1" s="165"/>
      <c r="D1" s="165"/>
      <c r="E1" s="165"/>
      <c r="F1" s="165"/>
      <c r="G1" s="111"/>
    </row>
    <row r="2" spans="1:7" x14ac:dyDescent="0.25">
      <c r="A2" s="153" t="str">
        <f>ENTE_PUBLICO</f>
        <v>JUNTA DE AGUA POTABLE DRENAJE ALCANTARILLADO Y SANEAMIENTO DEL MUNICIPIO DE IRAPUATO GTO, Gobierno del Estado de Guanajuato</v>
      </c>
      <c r="B2" s="154"/>
      <c r="C2" s="154"/>
      <c r="D2" s="154"/>
      <c r="E2" s="154"/>
      <c r="F2" s="155"/>
    </row>
    <row r="3" spans="1:7" x14ac:dyDescent="0.25">
      <c r="A3" s="162" t="s">
        <v>488</v>
      </c>
      <c r="B3" s="163"/>
      <c r="C3" s="163"/>
      <c r="D3" s="163"/>
      <c r="E3" s="163"/>
      <c r="F3" s="164"/>
    </row>
    <row r="4" spans="1:7" ht="30" x14ac:dyDescent="0.2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x14ac:dyDescent="0.25">
      <c r="A5" s="136" t="s">
        <v>494</v>
      </c>
      <c r="B5" s="5"/>
      <c r="C5" s="5"/>
      <c r="D5" s="5"/>
      <c r="E5" s="5"/>
      <c r="F5" s="5"/>
    </row>
    <row r="6" spans="1:7" ht="30" x14ac:dyDescent="0.25">
      <c r="A6" s="137" t="s">
        <v>495</v>
      </c>
      <c r="B6" s="60"/>
      <c r="C6" s="60"/>
      <c r="D6" s="60"/>
      <c r="E6" s="60"/>
      <c r="F6" s="60"/>
    </row>
    <row r="7" spans="1:7" x14ac:dyDescent="0.25">
      <c r="A7" s="137" t="s">
        <v>496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497</v>
      </c>
      <c r="B9" s="54"/>
      <c r="C9" s="54"/>
      <c r="D9" s="54"/>
      <c r="E9" s="54"/>
      <c r="F9" s="54"/>
    </row>
    <row r="10" spans="1:7" x14ac:dyDescent="0.25">
      <c r="A10" s="137" t="s">
        <v>498</v>
      </c>
      <c r="B10" s="60"/>
      <c r="C10" s="60"/>
      <c r="D10" s="60"/>
      <c r="E10" s="60"/>
      <c r="F10" s="60"/>
    </row>
    <row r="11" spans="1:7" x14ac:dyDescent="0.25">
      <c r="A11" s="139" t="s">
        <v>499</v>
      </c>
      <c r="B11" s="60"/>
      <c r="C11" s="60"/>
      <c r="D11" s="60"/>
      <c r="E11" s="60"/>
      <c r="F11" s="60"/>
    </row>
    <row r="12" spans="1:7" x14ac:dyDescent="0.25">
      <c r="A12" s="139" t="s">
        <v>500</v>
      </c>
      <c r="B12" s="60"/>
      <c r="C12" s="60"/>
      <c r="D12" s="60"/>
      <c r="E12" s="60"/>
      <c r="F12" s="60"/>
    </row>
    <row r="13" spans="1:7" x14ac:dyDescent="0.25">
      <c r="A13" s="139" t="s">
        <v>501</v>
      </c>
      <c r="B13" s="60"/>
      <c r="C13" s="60"/>
      <c r="D13" s="60"/>
      <c r="E13" s="60"/>
      <c r="F13" s="60"/>
    </row>
    <row r="14" spans="1:7" x14ac:dyDescent="0.25">
      <c r="A14" s="137" t="s">
        <v>502</v>
      </c>
      <c r="B14" s="60"/>
      <c r="C14" s="60"/>
      <c r="D14" s="60"/>
      <c r="E14" s="60"/>
      <c r="F14" s="60"/>
    </row>
    <row r="15" spans="1:7" x14ac:dyDescent="0.25">
      <c r="A15" s="139" t="s">
        <v>499</v>
      </c>
      <c r="B15" s="60"/>
      <c r="C15" s="60"/>
      <c r="D15" s="60"/>
      <c r="E15" s="60"/>
      <c r="F15" s="60"/>
    </row>
    <row r="16" spans="1:7" x14ac:dyDescent="0.25">
      <c r="A16" s="139" t="s">
        <v>500</v>
      </c>
      <c r="B16" s="60"/>
      <c r="C16" s="60"/>
      <c r="D16" s="60"/>
      <c r="E16" s="60"/>
      <c r="F16" s="60"/>
    </row>
    <row r="17" spans="1:6" x14ac:dyDescent="0.25">
      <c r="A17" s="139" t="s">
        <v>501</v>
      </c>
      <c r="B17" s="60"/>
      <c r="C17" s="60"/>
      <c r="D17" s="60"/>
      <c r="E17" s="60"/>
      <c r="F17" s="60"/>
    </row>
    <row r="18" spans="1:6" x14ac:dyDescent="0.25">
      <c r="A18" s="137" t="s">
        <v>503</v>
      </c>
      <c r="B18" s="145"/>
      <c r="C18" s="60"/>
      <c r="D18" s="60"/>
      <c r="E18" s="60"/>
      <c r="F18" s="60"/>
    </row>
    <row r="19" spans="1:6" x14ac:dyDescent="0.25">
      <c r="A19" s="137" t="s">
        <v>504</v>
      </c>
      <c r="B19" s="60"/>
      <c r="C19" s="60"/>
      <c r="D19" s="60"/>
      <c r="E19" s="60"/>
      <c r="F19" s="60"/>
    </row>
    <row r="20" spans="1:6" x14ac:dyDescent="0.25">
      <c r="A20" s="137" t="s">
        <v>505</v>
      </c>
      <c r="B20" s="146"/>
      <c r="C20" s="146"/>
      <c r="D20" s="146"/>
      <c r="E20" s="146"/>
      <c r="F20" s="146"/>
    </row>
    <row r="21" spans="1:6" x14ac:dyDescent="0.25">
      <c r="A21" s="137" t="s">
        <v>506</v>
      </c>
      <c r="B21" s="146"/>
      <c r="C21" s="146"/>
      <c r="D21" s="146"/>
      <c r="E21" s="146"/>
      <c r="F21" s="146"/>
    </row>
    <row r="22" spans="1:6" x14ac:dyDescent="0.25">
      <c r="A22" s="64" t="s">
        <v>507</v>
      </c>
      <c r="B22" s="146"/>
      <c r="C22" s="146"/>
      <c r="D22" s="146"/>
      <c r="E22" s="146"/>
      <c r="F22" s="146"/>
    </row>
    <row r="23" spans="1:6" x14ac:dyDescent="0.25">
      <c r="A23" s="64" t="s">
        <v>508</v>
      </c>
      <c r="B23" s="146"/>
      <c r="C23" s="146"/>
      <c r="D23" s="146"/>
      <c r="E23" s="146"/>
      <c r="F23" s="146"/>
    </row>
    <row r="24" spans="1:6" x14ac:dyDescent="0.25">
      <c r="A24" s="64" t="s">
        <v>509</v>
      </c>
      <c r="B24" s="147"/>
      <c r="C24" s="60"/>
      <c r="D24" s="60"/>
      <c r="E24" s="60"/>
      <c r="F24" s="60"/>
    </row>
    <row r="25" spans="1:6" x14ac:dyDescent="0.25">
      <c r="A25" s="137" t="s">
        <v>510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511</v>
      </c>
      <c r="B27" s="54"/>
      <c r="C27" s="54"/>
      <c r="D27" s="54"/>
      <c r="E27" s="54"/>
      <c r="F27" s="54"/>
    </row>
    <row r="28" spans="1:6" x14ac:dyDescent="0.25">
      <c r="A28" s="137" t="s">
        <v>512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513</v>
      </c>
      <c r="B30" s="54"/>
      <c r="C30" s="54"/>
      <c r="D30" s="54"/>
      <c r="E30" s="54"/>
      <c r="F30" s="54"/>
    </row>
    <row r="31" spans="1:6" x14ac:dyDescent="0.25">
      <c r="A31" s="137" t="s">
        <v>498</v>
      </c>
      <c r="B31" s="60"/>
      <c r="C31" s="60"/>
      <c r="D31" s="60"/>
      <c r="E31" s="60"/>
      <c r="F31" s="60"/>
    </row>
    <row r="32" spans="1:6" x14ac:dyDescent="0.25">
      <c r="A32" s="137" t="s">
        <v>502</v>
      </c>
      <c r="B32" s="60"/>
      <c r="C32" s="60"/>
      <c r="D32" s="60"/>
      <c r="E32" s="60"/>
      <c r="F32" s="60"/>
    </row>
    <row r="33" spans="1:6" x14ac:dyDescent="0.25">
      <c r="A33" s="137" t="s">
        <v>514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515</v>
      </c>
      <c r="B35" s="54"/>
      <c r="C35" s="54"/>
      <c r="D35" s="54"/>
      <c r="E35" s="54"/>
      <c r="F35" s="54"/>
    </row>
    <row r="36" spans="1:6" x14ac:dyDescent="0.25">
      <c r="A36" s="137" t="s">
        <v>516</v>
      </c>
      <c r="B36" s="60"/>
      <c r="C36" s="60"/>
      <c r="D36" s="60"/>
      <c r="E36" s="60"/>
      <c r="F36" s="60"/>
    </row>
    <row r="37" spans="1:6" x14ac:dyDescent="0.25">
      <c r="A37" s="137" t="s">
        <v>517</v>
      </c>
      <c r="B37" s="60"/>
      <c r="C37" s="60"/>
      <c r="D37" s="60"/>
      <c r="E37" s="60"/>
      <c r="F37" s="60"/>
    </row>
    <row r="38" spans="1:6" x14ac:dyDescent="0.25">
      <c r="A38" s="137" t="s">
        <v>518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519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520</v>
      </c>
      <c r="B42" s="54"/>
      <c r="C42" s="54"/>
      <c r="D42" s="54"/>
      <c r="E42" s="54"/>
      <c r="F42" s="54"/>
    </row>
    <row r="43" spans="1:6" x14ac:dyDescent="0.25">
      <c r="A43" s="137" t="s">
        <v>521</v>
      </c>
      <c r="B43" s="60"/>
      <c r="C43" s="60"/>
      <c r="D43" s="60"/>
      <c r="E43" s="60"/>
      <c r="F43" s="60"/>
    </row>
    <row r="44" spans="1:6" x14ac:dyDescent="0.25">
      <c r="A44" s="137" t="s">
        <v>522</v>
      </c>
      <c r="B44" s="60"/>
      <c r="C44" s="60"/>
      <c r="D44" s="60"/>
      <c r="E44" s="60"/>
      <c r="F44" s="60"/>
    </row>
    <row r="45" spans="1:6" x14ac:dyDescent="0.25">
      <c r="A45" s="137" t="s">
        <v>523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6"/>
      <c r="C48" s="146"/>
      <c r="D48" s="146"/>
      <c r="E48" s="146"/>
      <c r="F48" s="146"/>
    </row>
    <row r="49" spans="1:6" x14ac:dyDescent="0.25">
      <c r="A49" s="64" t="s">
        <v>523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525</v>
      </c>
      <c r="B51" s="54"/>
      <c r="C51" s="54"/>
      <c r="D51" s="54"/>
      <c r="E51" s="54"/>
      <c r="F51" s="54"/>
    </row>
    <row r="52" spans="1:6" x14ac:dyDescent="0.25">
      <c r="A52" s="137" t="s">
        <v>522</v>
      </c>
      <c r="B52" s="60"/>
      <c r="C52" s="60"/>
      <c r="D52" s="60"/>
      <c r="E52" s="60"/>
      <c r="F52" s="60"/>
    </row>
    <row r="53" spans="1:6" x14ac:dyDescent="0.25">
      <c r="A53" s="137" t="s">
        <v>523</v>
      </c>
      <c r="B53" s="60"/>
      <c r="C53" s="60"/>
      <c r="D53" s="60"/>
      <c r="E53" s="60"/>
      <c r="F53" s="60"/>
    </row>
    <row r="54" spans="1:6" x14ac:dyDescent="0.25">
      <c r="A54" s="137" t="s">
        <v>526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527</v>
      </c>
      <c r="B56" s="54"/>
      <c r="C56" s="54"/>
      <c r="D56" s="54"/>
      <c r="E56" s="54"/>
      <c r="F56" s="54"/>
    </row>
    <row r="57" spans="1:6" x14ac:dyDescent="0.25">
      <c r="A57" s="137" t="s">
        <v>522</v>
      </c>
      <c r="B57" s="60"/>
      <c r="C57" s="60"/>
      <c r="D57" s="60"/>
      <c r="E57" s="60"/>
      <c r="F57" s="60"/>
    </row>
    <row r="58" spans="1:6" x14ac:dyDescent="0.25">
      <c r="A58" s="137" t="s">
        <v>523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528</v>
      </c>
      <c r="B60" s="54"/>
      <c r="C60" s="54"/>
      <c r="D60" s="54"/>
      <c r="E60" s="54"/>
      <c r="F60" s="54"/>
    </row>
    <row r="61" spans="1:6" x14ac:dyDescent="0.25">
      <c r="A61" s="137" t="s">
        <v>529</v>
      </c>
      <c r="B61" s="60"/>
      <c r="C61" s="60"/>
      <c r="D61" s="60"/>
      <c r="E61" s="60"/>
      <c r="F61" s="60"/>
    </row>
    <row r="62" spans="1:6" x14ac:dyDescent="0.25">
      <c r="A62" s="137" t="s">
        <v>530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531</v>
      </c>
      <c r="B64" s="54"/>
      <c r="C64" s="54"/>
      <c r="D64" s="54"/>
      <c r="E64" s="54"/>
      <c r="F64" s="54"/>
    </row>
    <row r="65" spans="1:6" x14ac:dyDescent="0.25">
      <c r="A65" s="137" t="s">
        <v>532</v>
      </c>
      <c r="B65" s="60"/>
      <c r="C65" s="60"/>
      <c r="D65" s="60"/>
      <c r="E65" s="60"/>
      <c r="F65" s="60"/>
    </row>
    <row r="66" spans="1:6" x14ac:dyDescent="0.25">
      <c r="A66" s="137" t="s">
        <v>533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pageSetUpPr fitToPage="1"/>
  </sheetPr>
  <dimension ref="A1:F17283"/>
  <sheetViews>
    <sheetView showGridLines="0" tabSelected="1" topLeftCell="B57" zoomScale="90" zoomScaleNormal="90" zoomScalePageLayoutView="90" workbookViewId="0">
      <selection activeCell="E1048576" sqref="E1048576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537</v>
      </c>
      <c r="B1" s="165"/>
      <c r="C1" s="165"/>
      <c r="D1" s="165"/>
      <c r="E1" s="165"/>
      <c r="F1" s="165"/>
    </row>
    <row r="2" spans="1:6" x14ac:dyDescent="0.25">
      <c r="A2" s="153" t="str">
        <f>ENTE_PUBLICO_A</f>
        <v>JUNTA DE AGUA POTABLE DRENAJE ALCANTARILLADO Y SANEAMIENTO DEL MUNICIPIO DE IRAPUATO GTO,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x14ac:dyDescent="0.25">
      <c r="A4" s="159" t="str">
        <f>PERIODO_INFORME</f>
        <v>Al 31 de diciembre de 2019 y al 31 de diciembre de 2020 (b)</v>
      </c>
      <c r="B4" s="160"/>
      <c r="C4" s="160"/>
      <c r="D4" s="160"/>
      <c r="E4" s="160"/>
      <c r="F4" s="161"/>
    </row>
    <row r="5" spans="1:6" x14ac:dyDescent="0.25">
      <c r="A5" s="162" t="s">
        <v>118</v>
      </c>
      <c r="B5" s="163"/>
      <c r="C5" s="163"/>
      <c r="D5" s="163"/>
      <c r="E5" s="163"/>
      <c r="F5" s="164"/>
    </row>
    <row r="6" spans="1:6" s="3" customFormat="1" ht="30" x14ac:dyDescent="0.25">
      <c r="A6" s="133" t="s">
        <v>3276</v>
      </c>
      <c r="B6" s="134" t="str">
        <f>ANIO</f>
        <v>2020 (d)</v>
      </c>
      <c r="C6" s="131" t="str">
        <f>ULTIMO</f>
        <v>31 de diciembre de 2019 (e)</v>
      </c>
      <c r="D6" s="135" t="s">
        <v>0</v>
      </c>
      <c r="E6" s="134" t="str">
        <f>ANIO</f>
        <v>2020 (d)</v>
      </c>
      <c r="F6" s="131" t="str">
        <f>ULTIMO</f>
        <v>31 de diciembre de 2019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415974272.23000002</v>
      </c>
      <c r="C9" s="60">
        <f>SUM(C10:C16)</f>
        <v>449827713.04000002</v>
      </c>
      <c r="D9" s="100" t="s">
        <v>54</v>
      </c>
      <c r="E9" s="60">
        <f>SUM(E10:E18)</f>
        <v>22357421.749999996</v>
      </c>
      <c r="F9" s="60">
        <f>SUM(F10:F18)</f>
        <v>11370592.09</v>
      </c>
    </row>
    <row r="10" spans="1:6" x14ac:dyDescent="0.25">
      <c r="A10" s="96" t="s">
        <v>4</v>
      </c>
      <c r="B10" s="196">
        <v>428000</v>
      </c>
      <c r="C10" s="192">
        <v>602000</v>
      </c>
      <c r="D10" s="101" t="s">
        <v>55</v>
      </c>
      <c r="E10" s="196">
        <v>229811.58</v>
      </c>
      <c r="F10" s="60">
        <v>0</v>
      </c>
    </row>
    <row r="11" spans="1:6" x14ac:dyDescent="0.25">
      <c r="A11" s="96" t="s">
        <v>5</v>
      </c>
      <c r="B11" s="196">
        <v>8322327.46</v>
      </c>
      <c r="C11" s="192">
        <v>33554358.350000001</v>
      </c>
      <c r="D11" s="101" t="s">
        <v>56</v>
      </c>
      <c r="E11" s="196">
        <v>2157462.0099999998</v>
      </c>
      <c r="F11" s="192">
        <v>4418042.09</v>
      </c>
    </row>
    <row r="12" spans="1:6" x14ac:dyDescent="0.25">
      <c r="A12" s="96" t="s">
        <v>6</v>
      </c>
      <c r="B12" s="77">
        <v>0</v>
      </c>
      <c r="C12" s="77">
        <v>0</v>
      </c>
      <c r="D12" s="101" t="s">
        <v>57</v>
      </c>
      <c r="E12" s="196">
        <v>16250137.029999999</v>
      </c>
      <c r="F12" s="192">
        <v>3423210.43</v>
      </c>
    </row>
    <row r="13" spans="1:6" x14ac:dyDescent="0.25">
      <c r="A13" s="96" t="s">
        <v>7</v>
      </c>
      <c r="B13" s="196">
        <v>364986566.66000003</v>
      </c>
      <c r="C13" s="192">
        <v>415671354.69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196">
        <v>42237378.109999999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196">
        <v>2557003.5099999998</v>
      </c>
      <c r="F16" s="192">
        <v>2292556.06</v>
      </c>
    </row>
    <row r="17" spans="1:6" x14ac:dyDescent="0.25">
      <c r="A17" s="95" t="s">
        <v>11</v>
      </c>
      <c r="B17" s="60">
        <f>SUM(B18:B24)</f>
        <v>30882817.07</v>
      </c>
      <c r="C17" s="60">
        <f>SUM(C18:C24)</f>
        <v>24360603.130000003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196">
        <v>1163007.6200000001</v>
      </c>
      <c r="F18" s="192">
        <v>1236783.51</v>
      </c>
    </row>
    <row r="19" spans="1:6" x14ac:dyDescent="0.25">
      <c r="A19" s="97" t="s">
        <v>13</v>
      </c>
      <c r="B19" s="196">
        <v>169.41</v>
      </c>
      <c r="C19" s="192">
        <v>13562245.470000001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96">
        <v>1188602.3</v>
      </c>
      <c r="C20" s="192">
        <v>1422165.2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96">
        <v>29694045.359999999</v>
      </c>
      <c r="C24" s="192">
        <v>9376192.4600000009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14021301.85</v>
      </c>
      <c r="C25" s="60">
        <f>SUM(C26:C30)</f>
        <v>14755396.08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196">
        <v>347539.05</v>
      </c>
      <c r="C26" s="192">
        <v>5568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196">
        <v>261299.61</v>
      </c>
      <c r="C27" s="60">
        <v>0</v>
      </c>
      <c r="D27" s="100" t="s">
        <v>72</v>
      </c>
      <c r="E27" s="60">
        <f>SUM(E28:E30)</f>
        <v>3668979.73</v>
      </c>
      <c r="F27" s="60">
        <f>SUM(F28:F30)</f>
        <v>1633816.51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196">
        <v>3668979.73</v>
      </c>
      <c r="F28" s="192">
        <v>1633816.51</v>
      </c>
    </row>
    <row r="29" spans="1:6" x14ac:dyDescent="0.25">
      <c r="A29" s="97" t="s">
        <v>23</v>
      </c>
      <c r="B29" s="196">
        <v>13412463.189999999</v>
      </c>
      <c r="C29" s="192">
        <v>14749828.08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196">
        <v>19087639.07</v>
      </c>
      <c r="C37" s="192">
        <v>15485863.800000001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93">
        <f>B9+B17+B25+B31+B38+B41+B37</f>
        <v>479966030.22000003</v>
      </c>
      <c r="C47" s="193">
        <f>C9+C17+C25+C31+C38+C41+C37</f>
        <v>504429576.05000001</v>
      </c>
      <c r="D47" s="99" t="s">
        <v>91</v>
      </c>
      <c r="E47" s="61">
        <f>E9+E19+E23+E26+E27+E31+E38+E42</f>
        <v>26026401.479999997</v>
      </c>
      <c r="F47" s="61">
        <f>F9+F19+F23+F26+F27+F31+F38+F42</f>
        <v>13004408.6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196">
        <v>93118067.579999998</v>
      </c>
      <c r="C51" s="194">
        <v>43556000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196">
        <v>1859320213.6700001</v>
      </c>
      <c r="C52" s="194">
        <v>1856745075.78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196">
        <v>221452702.49000001</v>
      </c>
      <c r="C53" s="194">
        <v>178031161.12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196">
        <v>2634713.11</v>
      </c>
      <c r="C54" s="194">
        <v>2631963.11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196">
        <v>-752515238.21000004</v>
      </c>
      <c r="C55" s="194">
        <v>-636018604.37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196">
        <v>2077675.85</v>
      </c>
      <c r="C56" s="194">
        <v>1659363.35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26026401.479999997</v>
      </c>
      <c r="F59" s="61">
        <f>F47+F57</f>
        <v>13004408.6</v>
      </c>
    </row>
    <row r="60" spans="1:6" x14ac:dyDescent="0.25">
      <c r="A60" s="55" t="s">
        <v>50</v>
      </c>
      <c r="B60" s="61">
        <f>SUM(B50:B58)</f>
        <v>1426088134.4899998</v>
      </c>
      <c r="C60" s="61">
        <f>SUM(C50:C58)</f>
        <v>1446604958.9899998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1906054164.7099998</v>
      </c>
      <c r="C62" s="61">
        <f>SUM(C47+C60)</f>
        <v>1951034535.0399997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406128317.55000001</v>
      </c>
      <c r="F63" s="77">
        <f>SUM(F64:F66)</f>
        <v>404124721.91000003</v>
      </c>
    </row>
    <row r="64" spans="1:6" x14ac:dyDescent="0.25">
      <c r="A64" s="54"/>
      <c r="B64" s="54"/>
      <c r="C64" s="54"/>
      <c r="D64" s="103" t="s">
        <v>103</v>
      </c>
      <c r="E64" s="196">
        <v>4610300.5999999996</v>
      </c>
      <c r="F64" s="194">
        <v>4610300.5999999996</v>
      </c>
    </row>
    <row r="65" spans="1:6" x14ac:dyDescent="0.25">
      <c r="A65" s="54"/>
      <c r="B65" s="54"/>
      <c r="C65" s="54"/>
      <c r="D65" s="41" t="s">
        <v>104</v>
      </c>
      <c r="E65" s="196">
        <v>18500642.289999999</v>
      </c>
      <c r="F65" s="194">
        <v>16497046.65</v>
      </c>
    </row>
    <row r="66" spans="1:6" x14ac:dyDescent="0.25">
      <c r="A66" s="54"/>
      <c r="B66" s="54"/>
      <c r="C66" s="54"/>
      <c r="D66" s="103" t="s">
        <v>105</v>
      </c>
      <c r="E66" s="196">
        <v>383017374.66000003</v>
      </c>
      <c r="F66" s="194">
        <v>383017374.66000003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1473899445.6799998</v>
      </c>
      <c r="F68" s="77">
        <f>SUM(F69:F73)</f>
        <v>1533905404.53</v>
      </c>
    </row>
    <row r="69" spans="1:6" x14ac:dyDescent="0.25">
      <c r="A69" s="12"/>
      <c r="B69" s="54"/>
      <c r="C69" s="54"/>
      <c r="D69" s="103" t="s">
        <v>107</v>
      </c>
      <c r="E69" s="77">
        <v>24720494.84</v>
      </c>
      <c r="F69" s="194">
        <v>139060929.19</v>
      </c>
    </row>
    <row r="70" spans="1:6" x14ac:dyDescent="0.25">
      <c r="A70" s="12"/>
      <c r="B70" s="54"/>
      <c r="C70" s="54"/>
      <c r="D70" s="103" t="s">
        <v>108</v>
      </c>
      <c r="E70" s="196">
        <v>1441863804.97</v>
      </c>
      <c r="F70" s="194">
        <v>1387529329.47</v>
      </c>
    </row>
    <row r="71" spans="1:6" x14ac:dyDescent="0.25">
      <c r="A71" s="12"/>
      <c r="B71" s="54"/>
      <c r="C71" s="54"/>
      <c r="D71" s="103" t="s">
        <v>109</v>
      </c>
      <c r="E71" s="196">
        <v>5064933.6100000003</v>
      </c>
      <c r="F71" s="194">
        <v>5064933.6100000003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194">
        <v>0</v>
      </c>
    </row>
    <row r="73" spans="1:6" x14ac:dyDescent="0.25">
      <c r="A73" s="12"/>
      <c r="B73" s="54"/>
      <c r="C73" s="54"/>
      <c r="D73" s="103" t="s">
        <v>111</v>
      </c>
      <c r="E73" s="196">
        <v>2250212.2599999998</v>
      </c>
      <c r="F73" s="194">
        <v>2250212.2599999998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1880027763.2299998</v>
      </c>
      <c r="F79" s="61">
        <f>F63+F68+F75</f>
        <v>1938030126.4400001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1906054164.7099998</v>
      </c>
      <c r="F81" s="61">
        <f>F59+F79</f>
        <v>1951034535.04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415974272.23000002</v>
      </c>
      <c r="Q4" s="18">
        <f>'Formato 1'!C9</f>
        <v>449827713.04000002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428000</v>
      </c>
      <c r="Q5" s="18">
        <f>'Formato 1'!C10</f>
        <v>602000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8322327.46</v>
      </c>
      <c r="Q6" s="18">
        <f>'Formato 1'!C11</f>
        <v>33554358.350000001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364986566.66000003</v>
      </c>
      <c r="Q8" s="18">
        <f>'Formato 1'!C13</f>
        <v>415671354.69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42237378.109999999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30882817.07</v>
      </c>
      <c r="Q12" s="18">
        <f>'Formato 1'!C17</f>
        <v>24360603.130000003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169.41</v>
      </c>
      <c r="Q14" s="18">
        <f>'Formato 1'!C19</f>
        <v>13562245.470000001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1188602.3</v>
      </c>
      <c r="Q15" s="18">
        <f>'Formato 1'!C20</f>
        <v>1422165.2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29694045.359999999</v>
      </c>
      <c r="Q19" s="18">
        <f>'Formato 1'!C24</f>
        <v>9376192.4600000009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14021301.85</v>
      </c>
      <c r="Q20" s="18">
        <f>'Formato 1'!C25</f>
        <v>14755396.08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347539.05</v>
      </c>
      <c r="Q21" s="18">
        <f>'Formato 1'!C26</f>
        <v>5568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261299.61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13412463.189999999</v>
      </c>
      <c r="Q24" s="18">
        <f>'Formato 1'!C29</f>
        <v>14749828.08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19087639.07</v>
      </c>
      <c r="Q32" s="18">
        <f>'Formato 1'!C37</f>
        <v>15485863.800000001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19087639.07</v>
      </c>
      <c r="Q33" s="18">
        <f>'Formato 1'!C37</f>
        <v>15485863.800000001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479966030.22000003</v>
      </c>
      <c r="Q42" s="18">
        <f>'Formato 1'!C47</f>
        <v>504429576.05000001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93118067.579999998</v>
      </c>
      <c r="Q45">
        <f>'Formato 1'!C51</f>
        <v>43556000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1859320213.6700001</v>
      </c>
      <c r="Q46">
        <f>'Formato 1'!C52</f>
        <v>1856745075.78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221452702.49000001</v>
      </c>
      <c r="Q47">
        <f>'Formato 1'!C53</f>
        <v>178031161.12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2634713.11</v>
      </c>
      <c r="Q48">
        <f>'Formato 1'!C54</f>
        <v>2631963.11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-752515238.21000004</v>
      </c>
      <c r="Q49">
        <f>'Formato 1'!C55</f>
        <v>-636018604.37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2077675.85</v>
      </c>
      <c r="Q50">
        <f>'Formato 1'!C56</f>
        <v>1659363.35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1426088134.4899998</v>
      </c>
      <c r="Q53">
        <f>'Formato 1'!C60</f>
        <v>1446604958.9899998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1906054164.7099998</v>
      </c>
      <c r="Q54">
        <f>'Formato 1'!C62</f>
        <v>1951034535.0399997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22357421.749999996</v>
      </c>
      <c r="Q57">
        <f>'Formato 1'!F9</f>
        <v>11370592.09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229811.58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2157462.0099999998</v>
      </c>
      <c r="Q59">
        <f>'Formato 1'!F11</f>
        <v>4418042.09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16250137.029999999</v>
      </c>
      <c r="Q60">
        <f>'Formato 1'!F12</f>
        <v>3423210.43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2557003.5099999998</v>
      </c>
      <c r="Q64">
        <f>'Formato 1'!F16</f>
        <v>2292556.06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1163007.6200000001</v>
      </c>
      <c r="Q66">
        <f>'Formato 1'!F18</f>
        <v>1236783.51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3668979.73</v>
      </c>
      <c r="Q76">
        <f>'Formato 1'!F27</f>
        <v>1633816.51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3668979.73</v>
      </c>
      <c r="Q77">
        <f>'Formato 1'!F28</f>
        <v>1633816.51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26026401.479999997</v>
      </c>
      <c r="Q95">
        <f>'Formato 1'!F47</f>
        <v>13004408.6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26026401.479999997</v>
      </c>
      <c r="Q104">
        <f>'Formato 1'!F59</f>
        <v>13004408.6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406128317.55000001</v>
      </c>
      <c r="Q106">
        <f>'Formato 1'!F63</f>
        <v>404124721.91000003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4610300.5999999996</v>
      </c>
      <c r="Q107">
        <f>'Formato 1'!F64</f>
        <v>4610300.5999999996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18500642.289999999</v>
      </c>
      <c r="Q108">
        <f>'Formato 1'!F65</f>
        <v>16497046.65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383017374.66000003</v>
      </c>
      <c r="Q109">
        <f>'Formato 1'!F66</f>
        <v>383017374.66000003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1473899445.6799998</v>
      </c>
      <c r="Q110">
        <f>'Formato 1'!F68</f>
        <v>1533905404.53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24720494.84</v>
      </c>
      <c r="Q111">
        <f>'Formato 1'!F69</f>
        <v>139060929.19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1441863804.97</v>
      </c>
      <c r="Q112">
        <f>'Formato 1'!F70</f>
        <v>1387529329.47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5064933.6100000003</v>
      </c>
      <c r="Q113">
        <f>'Formato 1'!F71</f>
        <v>5064933.6100000003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2250212.2599999998</v>
      </c>
      <c r="Q115">
        <f>'Formato 1'!F73</f>
        <v>2250212.2599999998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1880027763.2299998</v>
      </c>
      <c r="Q119">
        <f>'Formato 1'!F79</f>
        <v>1938030126.4400001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1906054164.7099998</v>
      </c>
      <c r="Q120">
        <f>'Formato 1'!F81</f>
        <v>1951034535.04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/>
  <dimension ref="A1:I47"/>
  <sheetViews>
    <sheetView showGridLines="0" zoomScale="90" zoomScaleNormal="90" zoomScalePageLayoutView="90" workbookViewId="0">
      <selection activeCell="F19" sqref="F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536</v>
      </c>
      <c r="B1" s="167"/>
      <c r="C1" s="167"/>
      <c r="D1" s="167"/>
      <c r="E1" s="167"/>
      <c r="F1" s="167"/>
      <c r="G1" s="167"/>
      <c r="H1" s="167"/>
    </row>
    <row r="2" spans="1:9" x14ac:dyDescent="0.25">
      <c r="A2" s="153" t="str">
        <f>ENTE_PUBLICO_A</f>
        <v>JUNTA DE AGUA POTABLE DRENAJE ALCANTARILLADO Y SANEAMIENTO DEL MUNICIPIO DE IRAPUATO GTO,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9" t="str">
        <f>PERIODO_INFORME</f>
        <v>Al 31 de diciembre de 2019 y al 31 de diciembre de 2020 (b)</v>
      </c>
      <c r="B4" s="160"/>
      <c r="C4" s="160"/>
      <c r="D4" s="160"/>
      <c r="E4" s="160"/>
      <c r="F4" s="160"/>
      <c r="G4" s="160"/>
      <c r="H4" s="161"/>
    </row>
    <row r="5" spans="1:9" x14ac:dyDescent="0.2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95">
        <v>13004408.6</v>
      </c>
      <c r="C18" s="132"/>
      <c r="D18" s="132"/>
      <c r="E18" s="132"/>
      <c r="F18" s="61">
        <v>26026401.48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13004408.6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26026401.48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438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439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3292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440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441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442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13004408.6</v>
      </c>
      <c r="Q12" s="18"/>
      <c r="R12" s="18"/>
      <c r="S12" s="18"/>
      <c r="T12" s="18">
        <f>'Formato 2'!F18</f>
        <v>26026401.48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13004408.6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26026401.48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/>
  <dimension ref="A1:L21"/>
  <sheetViews>
    <sheetView showGridLines="0" zoomScale="90" zoomScaleNormal="90" zoomScalePageLayoutView="90" workbookViewId="0">
      <selection activeCell="A9" sqref="A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x14ac:dyDescent="0.25">
      <c r="A2" s="153" t="str">
        <f>ENTE_PUBLICO_A</f>
        <v>JUNTA DE AGUA POTABLE DRENAJE ALCANTARILLADO Y SANEAMIENTO DEL MUNICIPIO DE IRAPUATO GTO,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x14ac:dyDescent="0.25">
      <c r="A4" s="159" t="str">
        <f>TRIMESTRE</f>
        <v>Del 1 de enero al 31 de diciembre de 2020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x14ac:dyDescent="0.2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2020 (k)</v>
      </c>
      <c r="J6" s="131" t="str">
        <f>MONTO2</f>
        <v>Monto pagado de la inversión actualizado al 31 de diciembre de 2020 (l)</v>
      </c>
      <c r="K6" s="131" t="str">
        <f>SALDO_PENDIENTE</f>
        <v>Saldo pendiente por pagar de la inversión al 31 de diciembre de 2020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2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x14ac:dyDescent="0.2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x14ac:dyDescent="0.2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2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2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x14ac:dyDescent="0.2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Marisol Muñoz Vega</cp:lastModifiedBy>
  <cp:lastPrinted>2017-02-04T00:56:20Z</cp:lastPrinted>
  <dcterms:created xsi:type="dcterms:W3CDTF">2017-01-19T17:59:06Z</dcterms:created>
  <dcterms:modified xsi:type="dcterms:W3CDTF">2021-01-22T18:35:53Z</dcterms:modified>
</cp:coreProperties>
</file>